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du8+v+lNq5sBkOaU6SXlky4eIMVMA5/IdKe5O2XTw3JUrPmnIm1Jeuolg35SyTKag049vCfUKBUFIQ1uFRfCKQ==" workbookSaltValue="76ef+UBKR4h9T5eLcYpk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BD16" i="13" s="1"/>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K16" i="7" s="1"/>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AW20" i="21"/>
  <c r="R14" i="12"/>
  <c r="BD11" i="13"/>
  <c r="BF18" i="8"/>
  <c r="AN21" i="13"/>
  <c r="D20" i="12"/>
  <c r="ER21" i="8"/>
  <c r="N19" i="11"/>
  <c r="AE14" i="21"/>
  <c r="EL21" i="8"/>
  <c r="EQ21" i="8"/>
  <c r="EN21" i="8"/>
  <c r="K20" i="11"/>
  <c r="BA14" i="16"/>
  <c r="N10" i="11"/>
  <c r="N9" i="11"/>
  <c r="ES21" i="8"/>
  <c r="G20" i="12"/>
  <c r="AQ19" i="11"/>
  <c r="AK21" i="8"/>
  <c r="EP21" i="8"/>
  <c r="ER21" i="13"/>
  <c r="AL14" i="16"/>
  <c r="EP21" i="19"/>
  <c r="S14" i="16"/>
  <c r="P14" i="16"/>
  <c r="F18" i="17"/>
  <c r="AQ18" i="17" s="1"/>
  <c r="K20" i="2"/>
  <c r="M14" i="2"/>
  <c r="N14" i="2"/>
  <c r="F14" i="7"/>
  <c r="T14" i="12"/>
  <c r="T14" i="16"/>
  <c r="AY20" i="8"/>
  <c r="BF16" i="8"/>
  <c r="AY14" i="8"/>
  <c r="BD9" i="8"/>
  <c r="E14" i="17"/>
  <c r="AH14" i="16"/>
  <c r="T14" i="20"/>
  <c r="T20" i="17"/>
  <c r="BG16" i="13"/>
  <c r="BB20" i="13"/>
  <c r="BE17" i="13"/>
  <c r="BF17" i="13"/>
  <c r="K22" i="20"/>
  <c r="AA22" i="20"/>
  <c r="U17" i="11"/>
  <c r="W22" i="20"/>
  <c r="U10" i="11"/>
  <c r="W22" i="21"/>
  <c r="AF22" i="20"/>
  <c r="U18" i="11"/>
  <c r="AL22" i="20"/>
  <c r="AE22" i="20"/>
  <c r="AG22" i="20"/>
  <c r="L22" i="20"/>
  <c r="M22" i="20"/>
  <c r="N22" i="20"/>
  <c r="Y22" i="20"/>
  <c r="AC22" i="20"/>
  <c r="U12" i="11"/>
  <c r="AQ22" i="21"/>
  <c r="AQ22" i="20"/>
  <c r="G14" i="14"/>
  <c r="AE21" i="8" l="1"/>
  <c r="R21" i="8"/>
  <c r="BG10" i="8"/>
  <c r="F13" i="2"/>
  <c r="H12" i="2"/>
  <c r="AL16" i="11"/>
  <c r="M20" i="2"/>
  <c r="N20" i="2"/>
  <c r="BE16" i="13"/>
  <c r="BF16" i="13"/>
  <c r="R13" i="17"/>
  <c r="BD17" i="13"/>
  <c r="I13" i="14"/>
  <c r="R8" i="9"/>
  <c r="F11" i="16"/>
  <c r="BL11" i="16" s="1"/>
  <c r="X12" i="21"/>
  <c r="BF11" i="11"/>
  <c r="V16" i="11"/>
  <c r="BJ18" i="11"/>
  <c r="BF19" i="11"/>
  <c r="BJ19" i="11"/>
  <c r="BL18" i="11"/>
  <c r="BF17" i="11"/>
  <c r="S18" i="16"/>
  <c r="BK11" i="11"/>
  <c r="BI10" i="11"/>
  <c r="BH9" i="11"/>
  <c r="BJ11" i="11"/>
  <c r="R10" i="21"/>
  <c r="R14" i="21" s="1"/>
  <c r="BG9" i="11"/>
  <c r="BH13" i="11"/>
  <c r="BH18" i="11"/>
  <c r="AZ9" i="11"/>
  <c r="AZ21" i="11" s="1"/>
  <c r="AZ16" i="11"/>
  <c r="AZ20" i="11" s="1"/>
  <c r="BW19" i="20"/>
  <c r="BW18" i="20"/>
  <c r="BV12" i="16"/>
  <c r="BV11" i="16"/>
  <c r="BU9" i="17"/>
  <c r="BW10" i="20"/>
  <c r="S11" i="17"/>
  <c r="AA17" i="16"/>
  <c r="AZ12" i="11"/>
  <c r="X18" i="17"/>
  <c r="S16" i="14"/>
  <c r="V16" i="14" s="1"/>
  <c r="S10" i="14"/>
  <c r="V10" i="14" s="1"/>
  <c r="S18" i="14"/>
  <c r="V18" i="14" s="1"/>
  <c r="R12" i="14"/>
  <c r="R19" i="14"/>
  <c r="T13" i="11"/>
  <c r="X17" i="17"/>
  <c r="X16" i="17"/>
  <c r="AA11" i="16"/>
  <c r="X18" i="20"/>
  <c r="U10" i="21"/>
  <c r="V19" i="16"/>
  <c r="L11" i="2"/>
  <c r="V16" i="20"/>
  <c r="V20" i="20" s="1"/>
  <c r="T16" i="11"/>
  <c r="AA10" i="16"/>
  <c r="X10" i="17"/>
  <c r="X9" i="17"/>
  <c r="X17" i="20"/>
  <c r="L10" i="2"/>
  <c r="T19" i="20"/>
  <c r="AO14" i="21"/>
  <c r="BB14" i="13"/>
  <c r="BE14" i="13" s="1"/>
  <c r="BD18" i="13"/>
  <c r="BE11" i="13"/>
  <c r="BI18" i="16"/>
  <c r="D10" i="6"/>
  <c r="I21" i="8"/>
  <c r="BF12" i="8"/>
  <c r="BG9" i="8"/>
  <c r="BG12" i="8"/>
  <c r="K12" i="7" s="1"/>
  <c r="BD16" i="8"/>
  <c r="H16" i="7" s="1"/>
  <c r="F18" i="16"/>
  <c r="BL18" i="16" s="1"/>
  <c r="J20" i="17"/>
  <c r="AL18" i="11"/>
  <c r="BE12" i="21"/>
  <c r="BE14" i="21" s="1"/>
  <c r="BE21" i="21" s="1"/>
  <c r="N13" i="11"/>
  <c r="C14" i="5"/>
  <c r="B18" i="6"/>
  <c r="AN18" i="11"/>
  <c r="E12" i="6"/>
  <c r="L17" i="14"/>
  <c r="AU20" i="21"/>
  <c r="AO14" i="20"/>
  <c r="AD21" i="19"/>
  <c r="AT20" i="20"/>
  <c r="AF14" i="21"/>
  <c r="BA20" i="13"/>
  <c r="Y21" i="13"/>
  <c r="BF9" i="13"/>
  <c r="BE12" i="13"/>
  <c r="S21" i="8"/>
  <c r="AC21" i="8"/>
  <c r="T21" i="8"/>
  <c r="BK21" i="8"/>
  <c r="BD12" i="8"/>
  <c r="H12" i="7" s="1"/>
  <c r="C20" i="7"/>
  <c r="AS14" i="8"/>
  <c r="AS21" i="8" s="1"/>
  <c r="H13" i="10"/>
  <c r="J10" i="2"/>
  <c r="J16" i="7"/>
  <c r="I12" i="3"/>
  <c r="E12" i="3"/>
  <c r="B9" i="6"/>
  <c r="AO12" i="17"/>
  <c r="H10" i="2"/>
  <c r="E17" i="6"/>
  <c r="AO18" i="11"/>
  <c r="AO16" i="11"/>
  <c r="AM16" i="11"/>
  <c r="BM21" i="8"/>
  <c r="C13" i="14"/>
  <c r="K13" i="14" s="1"/>
  <c r="C10" i="14"/>
  <c r="K10" i="14" s="1"/>
  <c r="J13" i="2"/>
  <c r="H9" i="7"/>
  <c r="E11" i="6"/>
  <c r="C12" i="6"/>
  <c r="C18" i="6"/>
  <c r="AN10" i="11"/>
  <c r="H18" i="2"/>
  <c r="T10" i="21"/>
  <c r="V10" i="21" s="1"/>
  <c r="BE20" i="19"/>
  <c r="CN21" i="19"/>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1"/>
  <c r="G14" i="2"/>
  <c r="L12" i="14"/>
  <c r="E9" i="6"/>
  <c r="K9" i="12" s="1"/>
  <c r="I9" i="7"/>
  <c r="J9" i="7"/>
  <c r="K9" i="7"/>
  <c r="K10" i="7"/>
  <c r="AO10" i="17"/>
  <c r="I20" i="2"/>
  <c r="B12" i="6"/>
  <c r="AL12" i="11"/>
  <c r="I14" i="2"/>
  <c r="J14" i="2" s="1"/>
  <c r="C11" i="6"/>
  <c r="AM11" i="11"/>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AP17" i="20" l="1"/>
  <c r="BL19" i="11"/>
  <c r="BK13" i="11"/>
  <c r="BG10" i="11"/>
  <c r="BM17" i="11"/>
  <c r="V11" i="16"/>
  <c r="BH19" i="11"/>
  <c r="BF10" i="11"/>
  <c r="AZ19" i="11"/>
  <c r="BK16" i="11"/>
  <c r="AP10" i="21"/>
  <c r="V13" i="11"/>
  <c r="BI16" i="11"/>
  <c r="BM13" i="11"/>
  <c r="Q13" i="11" s="1"/>
  <c r="AP16" i="20"/>
  <c r="BL11" i="11"/>
  <c r="BL13" i="11"/>
  <c r="BM16" i="11"/>
  <c r="T16" i="16"/>
  <c r="BV19" i="16"/>
  <c r="BV13" i="16"/>
  <c r="BV17" i="16"/>
  <c r="BV16" i="16"/>
  <c r="BW11" i="20"/>
  <c r="BV10" i="16"/>
  <c r="V12" i="16"/>
  <c r="BV9" i="16"/>
  <c r="T17" i="11"/>
  <c r="Q18" i="17"/>
  <c r="BH10" i="11"/>
  <c r="BI9" i="11"/>
  <c r="AQ10" i="21"/>
  <c r="S10" i="17"/>
  <c r="BH10" i="16"/>
  <c r="Q16" i="17"/>
  <c r="Q20" i="17" s="1"/>
  <c r="BM18" i="11"/>
  <c r="P18" i="11" s="1"/>
  <c r="BF16" i="11"/>
  <c r="BH17" i="11"/>
  <c r="AQ12" i="21"/>
  <c r="BJ17" i="11"/>
  <c r="BJ20" i="11" s="1"/>
  <c r="BL17" i="11"/>
  <c r="S17" i="17"/>
  <c r="L17" i="2"/>
  <c r="L13" i="2"/>
  <c r="V10" i="16"/>
  <c r="X13" i="16"/>
  <c r="BH9" i="16"/>
  <c r="BL9" i="11"/>
  <c r="BH18" i="16"/>
  <c r="BH16" i="16"/>
  <c r="Q18" i="20"/>
  <c r="Q20" i="20" s="1"/>
  <c r="BF18" i="11"/>
  <c r="BF20" i="11" s="1"/>
  <c r="BK19" i="11"/>
  <c r="BK9" i="11"/>
  <c r="BK14" i="11" s="1"/>
  <c r="S9" i="17"/>
  <c r="BM12" i="11"/>
  <c r="S9" i="14"/>
  <c r="V9" i="14" s="1"/>
  <c r="BI19" i="11"/>
  <c r="BG16" i="11"/>
  <c r="BG19" i="11"/>
  <c r="BU16" i="17"/>
  <c r="BW13" i="20"/>
  <c r="U13" i="17"/>
  <c r="BU18" i="17"/>
  <c r="BG12" i="11"/>
  <c r="BF12" i="11"/>
  <c r="BL10" i="11"/>
  <c r="BK17" i="11"/>
  <c r="BG17" i="11"/>
  <c r="BM9" i="11"/>
  <c r="BK10" i="11"/>
  <c r="L12" i="2"/>
  <c r="L18" i="2"/>
  <c r="U9" i="17"/>
  <c r="U21" i="17" s="1"/>
  <c r="BJ12" i="11"/>
  <c r="AQ14" i="21"/>
  <c r="T18" i="16"/>
  <c r="BW9" i="20"/>
  <c r="BW17" i="20"/>
  <c r="U10" i="17"/>
  <c r="BU17" i="17"/>
  <c r="S11" i="14"/>
  <c r="V11" i="14" s="1"/>
  <c r="P16" i="17"/>
  <c r="BL16" i="11"/>
  <c r="P16" i="11" s="1"/>
  <c r="BJ10" i="11"/>
  <c r="BH11" i="11"/>
  <c r="S18" i="17"/>
  <c r="BH12" i="16"/>
  <c r="S16" i="17"/>
  <c r="X19" i="16"/>
  <c r="L19" i="2"/>
  <c r="L9" i="2"/>
  <c r="V9" i="16"/>
  <c r="T19" i="11"/>
  <c r="AO17" i="17"/>
  <c r="R11" i="14"/>
  <c r="S19" i="14"/>
  <c r="V19" i="14" s="1"/>
  <c r="S13" i="17"/>
  <c r="X10" i="21"/>
  <c r="V12" i="21"/>
  <c r="V14" i="21" s="1"/>
  <c r="V21" i="21" s="1"/>
  <c r="X14" i="17"/>
  <c r="AO13" i="17"/>
  <c r="AM12" i="11"/>
  <c r="AO9" i="17"/>
  <c r="AZ14" i="11"/>
  <c r="AM17" i="11"/>
  <c r="X14" i="20"/>
  <c r="AO18" i="17"/>
  <c r="AP14" i="20"/>
  <c r="AM19" i="11"/>
  <c r="L16" i="2"/>
  <c r="V16" i="16"/>
  <c r="X11" i="17"/>
  <c r="AA18" i="16"/>
  <c r="X13" i="17"/>
  <c r="T18" i="11"/>
  <c r="X12" i="16"/>
  <c r="X9" i="16"/>
  <c r="X21" i="16" s="1"/>
  <c r="AZ18" i="11"/>
  <c r="AA12" i="21"/>
  <c r="X19" i="20"/>
  <c r="T18" i="20"/>
  <c r="AA9" i="16"/>
  <c r="X12" i="17"/>
  <c r="V13" i="16"/>
  <c r="AM9" i="11"/>
  <c r="R17" i="14"/>
  <c r="R10" i="14"/>
  <c r="S13" i="14"/>
  <c r="V13" i="14" s="1"/>
  <c r="R13" i="14"/>
  <c r="R14" i="14" s="1"/>
  <c r="S16" i="16"/>
  <c r="S20" i="16" s="1"/>
  <c r="AZ11" i="11"/>
  <c r="AZ17" i="11"/>
  <c r="BU12" i="17"/>
  <c r="BU23" i="17" s="1"/>
  <c r="BU13" i="17"/>
  <c r="BU19" i="17"/>
  <c r="BW16" i="20"/>
  <c r="BW12" i="20"/>
  <c r="BU10" i="17"/>
  <c r="BV18" i="16"/>
  <c r="BU11" i="17"/>
  <c r="AP18" i="20"/>
  <c r="BK18" i="11"/>
  <c r="R18" i="20"/>
  <c r="R20" i="20" s="1"/>
  <c r="AZ13" i="11"/>
  <c r="BI18" i="11"/>
  <c r="BJ16" i="11"/>
  <c r="V9" i="11"/>
  <c r="Q10" i="21"/>
  <c r="V11" i="11"/>
  <c r="BL12" i="11"/>
  <c r="AO16" i="17"/>
  <c r="BK12" i="11"/>
  <c r="P18" i="17"/>
  <c r="BH19" i="16"/>
  <c r="BH16" i="11"/>
  <c r="BH20" i="11" s="1"/>
  <c r="BF13" i="11"/>
  <c r="BH11" i="16"/>
  <c r="T9" i="11"/>
  <c r="T11" i="11"/>
  <c r="T12" i="11"/>
  <c r="R18" i="14"/>
  <c r="S17" i="14"/>
  <c r="V17" i="14" s="1"/>
  <c r="S12" i="14"/>
  <c r="V12" i="14" s="1"/>
  <c r="X16" i="16"/>
  <c r="X20" i="16" s="1"/>
  <c r="V18" i="16"/>
  <c r="AA16" i="16"/>
  <c r="I12" i="7"/>
  <c r="C14" i="6"/>
  <c r="AB21" i="21"/>
  <c r="H21" i="21"/>
  <c r="K19" i="12"/>
  <c r="I11" i="12"/>
  <c r="AV14" i="16"/>
  <c r="BG14" i="13"/>
  <c r="AK21" i="13"/>
  <c r="BC21" i="13"/>
  <c r="BD14" i="13"/>
  <c r="BM21" i="13"/>
  <c r="AD21" i="13"/>
  <c r="AI21" i="13"/>
  <c r="L21" i="13"/>
  <c r="N21" i="13"/>
  <c r="BD10" i="13"/>
  <c r="K16" i="12"/>
  <c r="K10" i="12"/>
  <c r="I9" i="12"/>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AQ17" i="11"/>
  <c r="W20" i="11"/>
  <c r="Y17" i="11"/>
  <c r="Y20" i="11" s="1"/>
  <c r="X20" i="11"/>
  <c r="AC9" i="11"/>
  <c r="H14" i="11"/>
  <c r="E14" i="12" s="1"/>
  <c r="S20" i="11"/>
  <c r="T20" i="11" s="1"/>
  <c r="H20" i="11"/>
  <c r="X14" i="11"/>
  <c r="AA20" i="11"/>
  <c r="AA21" i="11" s="1"/>
  <c r="M20" i="11"/>
  <c r="C17" i="14"/>
  <c r="K17" i="14" s="1"/>
  <c r="AV21" i="17"/>
  <c r="J17" i="7"/>
  <c r="F20" i="3"/>
  <c r="G20" i="3" s="1"/>
  <c r="H14" i="3"/>
  <c r="E20" i="6"/>
  <c r="BK20" i="11"/>
  <c r="BK21" i="11" s="1"/>
  <c r="K12" i="12"/>
  <c r="AJ20" i="11"/>
  <c r="D20" i="5"/>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E21" i="2"/>
  <c r="BV14" i="16"/>
  <c r="BI20" i="16"/>
  <c r="D21" i="12"/>
  <c r="I18" i="12"/>
  <c r="BW23" i="20"/>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AI23" i="11" l="1"/>
  <c r="D21" i="14"/>
  <c r="Q9" i="11"/>
  <c r="P9" i="11"/>
  <c r="U14" i="17"/>
  <c r="R21" i="20"/>
  <c r="P20" i="17"/>
  <c r="P21" i="17" s="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<sst xmlns="http://schemas.openxmlformats.org/spreadsheetml/2006/main" count="2229" uniqueCount="979">
  <si>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</si>
  <si>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</si>
  <si>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</si>
  <si>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</si>
  <si>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</si>
  <si>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</si>
  <si>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</si>
  <si>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</si>
  <si>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</si>
  <si>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</si>
  <si>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</si>
  <si>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</si>
  <si>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</si>
  <si>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</si>
  <si>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</si>
  <si>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</si>
  <si>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</si>
  <si>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</si>
  <si>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</si>
  <si>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</si>
  <si>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</si>
  <si>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</si>
  <si>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</si>
  <si>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</si>
  <si>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</si>
  <si>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</si>
  <si>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</si>
  <si>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</si>
  <si>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</si>
  <si>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</si>
  <si>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</si>
  <si>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</si>
  <si>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</si>
  <si>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</si>
  <si>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</si>
  <si>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</si>
  <si>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</si>
  <si>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</si>
  <si>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</si>
  <si>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</si>
  <si>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</si>
  <si>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</si>
  <si>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</si>
  <si>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</si>
  <si>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</si>
  <si>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</si>
  <si>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</si>
  <si>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</si>
  <si>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</si>
  <si>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</si>
  <si>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</si>
  <si>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</si>
  <si>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</si>
  <si>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</si>
  <si>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</si>
  <si>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</si>
  <si>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</si>
  <si>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</si>
  <si>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</si>
  <si>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</si>
  <si>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</si>
  <si>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</si>
  <si>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</si>
  <si>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</si>
  <si>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</si>
  <si>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</si>
  <si>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</si>
  <si>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</si>
  <si>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</si>
  <si>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</si>
  <si>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</si>
  <si>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</si>
  <si>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</si>
  <si>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</si>
  <si>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</si>
  <si>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</si>
  <si>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</si>
  <si>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</si>
  <si>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</si>
  <si>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</si>
  <si>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</si>
  <si>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</si>
  <si>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</si>
  <si>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</si>
  <si>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</si>
  <si>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</si>
  <si>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</si>
  <si>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</si>
  <si>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</si>
  <si>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</si>
  <si>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</si>
  <si>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</si>
  <si>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</si>
  <si>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</si>
  <si>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</si>
  <si>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</si>
  <si>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</si>
  <si>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</si>
  <si>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</si>
  <si>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</si>
  <si>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</si>
  <si>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</si>
  <si>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</si>
  <si>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</si>
  <si>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</si>
  <si>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</si>
  <si>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</si>
  <si>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</si>
  <si>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</si>
  <si>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</si>
  <si>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</si>
  <si>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</si>
  <si>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</si>
  <si>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</si>
  <si>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</si>
  <si>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</si>
  <si>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</si>
  <si>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</si>
  <si>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</si>
  <si>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</si>
  <si>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</si>
  <si>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</si>
  <si>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</si>
  <si>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</si>
  <si>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</si>
  <si>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</si>
  <si>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</si>
  <si>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</si>
  <si>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</si>
  <si>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</si>
  <si>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</si>
  <si>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</si>
  <si>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</si>
  <si>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</si>
  <si>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</si>
  <si>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</si>
  <si>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</si>
  <si>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</si>
  <si>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</si>
  <si>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</si>
  <si>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</si>
  <si>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</si>
  <si>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</si>
  <si>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</si>
  <si>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</si>
  <si>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</si>
  <si>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</si>
  <si>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</si>
  <si>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</si>
  <si>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</si>
  <si>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</si>
  <si>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</si>
  <si>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</si>
  <si>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</si>
  <si>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</si>
  <si>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</si>
  <si>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</si>
  <si>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</si>
  <si>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</si>
  <si>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</si>
  <si>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</si>
  <si>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</si>
  <si>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</si>
  <si>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</si>
  <si>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</si>
  <si>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</si>
  <si>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</si>
  <si>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</si>
  <si>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</si>
  <si>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</si>
  <si>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</si>
  <si>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</si>
  <si>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</si>
  <si>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</si>
  <si>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</si>
  <si>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</si>
  <si>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</si>
  <si>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</si>
  <si>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</si>
  <si>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</si>
  <si>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</si>
  <si>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</si>
  <si>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</si>
  <si>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</si>
  <si>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</si>
  <si>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</si>
  <si>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</si>
  <si>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</si>
  <si>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</si>
  <si>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</si>
  <si>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</si>
  <si>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</si>
  <si>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</si>
  <si>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</si>
  <si>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</si>
  <si>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</si>
  <si>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</si>
  <si>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</si>
  <si>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</si>
  <si>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</si>
  <si>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</si>
  <si>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</si>
  <si>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</si>
  <si>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</si>
  <si>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</si>
  <si>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</si>
  <si>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</si>
  <si>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</si>
  <si>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</si>
  <si>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</si>
  <si>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</si>
  <si>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</si>
  <si>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</si>
  <si>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</si>
  <si>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</si>
  <si>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</si>
  <si>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</si>
  <si>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</si>
  <si>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</si>
  <si>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</si>
  <si>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</si>
  <si>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</si>
  <si>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</si>
  <si>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</si>
  <si>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</si>
  <si>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</si>
  <si>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</si>
  <si>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</si>
  <si>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</si>
  <si>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</si>
  <si>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</si>
  <si>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</si>
  <si>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</si>
  <si>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</si>
  <si>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</si>
  <si>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</si>
  <si>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</si>
  <si>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</si>
  <si>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</si>
  <si>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</si>
  <si>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</si>
  <si>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</si>
  <si>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</si>
  <si>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</si>
  <si>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</si>
  <si>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</si>
  <si>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</si>
  <si>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</si>
  <si>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</si>
  <si>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</si>
  <si>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</si>
  <si>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</si>
  <si>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</si>
  <si>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</si>
  <si>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</si>
  <si>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</si>
  <si>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</si>
  <si>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</si>
  <si>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</si>
  <si>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</si>
  <si>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</si>
  <si>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</si>
  <si>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</si>
  <si>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</si>
  <si>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</si>
  <si>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</si>
  <si>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</si>
  <si>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</si>
  <si>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</si>
  <si>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</si>
  <si>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</si>
  <si>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</si>
  <si>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</si>
  <si>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</si>
  <si>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</si>
  <si>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</si>
  <si>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</si>
  <si>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</si>
  <si>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</si>
  <si>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</si>
  <si>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</si>
  <si>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</si>
  <si>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</si>
  <si>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</si>
  <si>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</si>
  <si>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</si>
  <si>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</si>
  <si>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</si>
  <si>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</si>
  <si>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</si>
  <si>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</si>
  <si>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</si>
  <si>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</si>
  <si>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</si>
  <si>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</si>
  <si>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</si>
  <si>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</si>
  <si>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</si>
  <si>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</si>
  <si>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</si>
  <si>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</si>
  <si>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</si>
  <si>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</si>
  <si>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</si>
  <si>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</si>
  <si>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</si>
  <si>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</si>
  <si>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</si>
  <si>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</si>
  <si>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</si>
  <si>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</si>
  <si>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</si>
  <si>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</si>
  <si>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</si>
  <si>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</si>
  <si>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</si>
  <si>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</si>
  <si>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</si>
  <si>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</si>
  <si>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</si>
  <si>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</si>
  <si>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</si>
  <si>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</si>
  <si>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</si>
  <si>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</si>
  <si>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</si>
  <si>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</si>
  <si>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</si>
  <si>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</si>
  <si>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</si>
  <si>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</si>
  <si>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</si>
  <si>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</si>
  <si>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</si>
  <si>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</si>
  <si>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</si>
  <si>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</si>
  <si>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</si>
  <si>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</si>
  <si>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</si>
  <si>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</si>
  <si>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</si>
  <si>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</si>
  <si>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</si>
  <si>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</si>
  <si>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</si>
  <si>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</si>
  <si>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</si>
  <si>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</si>
  <si>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</si>
  <si>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</si>
  <si>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</si>
  <si>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</si>
  <si>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</si>
  <si>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</si>
  <si>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</si>
  <si>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</si>
  <si>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</si>
  <si>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</si>
  <si>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</si>
  <si>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</si>
  <si>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</si>
  <si>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</si>
  <si>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</si>
  <si>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</si>
  <si>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</si>
  <si>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</si>
  <si>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</si>
  <si>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</si>
  <si>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</si>
  <si>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</si>
  <si>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</si>
  <si>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</si>
  <si>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</si>
  <si>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</si>
  <si>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</si>
  <si>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</si>
  <si>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</si>
  <si>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</si>
  <si>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</si>
  <si>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</si>
  <si>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</si>
  <si>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</si>
  <si>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</si>
  <si>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</si>
  <si>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</si>
  <si>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</si>
  <si>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</si>
  <si>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</si>
  <si>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</si>
  <si>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</si>
  <si>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</si>
  <si>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</si>
  <si>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</si>
  <si>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</si>
  <si>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</si>
  <si>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</si>
  <si>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</si>
  <si>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</si>
  <si>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</si>
  <si>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</si>
  <si>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</si>
  <si>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</si>
  <si>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</si>
  <si>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</si>
  <si>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</si>
  <si>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</si>
  <si>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</si>
  <si>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</si>
  <si>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</si>
  <si>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</si>
  <si>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</si>
  <si>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</si>
  <si>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</si>
  <si>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</si>
  <si>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</si>
  <si>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</si>
  <si>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</si>
  <si>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</si>
  <si>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</si>
  <si>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</si>
  <si>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</si>
  <si>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</si>
  <si>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</si>
  <si>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</si>
  <si>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</si>
  <si>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</si>
  <si>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</si>
  <si>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</si>
  <si>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</si>
  <si>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</si>
  <si>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</si>
  <si>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</si>
  <si>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</si>
  <si>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</si>
  <si>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</si>
  <si>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</si>
  <si>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</si>
  <si>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</si>
  <si>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</si>
  <si>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</si>
  <si>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</si>
  <si>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</si>
  <si>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</si>
  <si>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</si>
  <si>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</si>
  <si>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</si>
  <si>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</si>
  <si>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</si>
  <si>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</si>
  <si>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</si>
  <si>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</si>
  <si>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</si>
  <si>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</si>
  <si>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</si>
  <si>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</si>
  <si>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</si>
  <si>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</si>
  <si>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</si>
  <si>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</si>
  <si>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</si>
  <si>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</si>
  <si>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</si>
  <si>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</si>
  <si>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</si>
  <si>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</si>
  <si>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</si>
  <si>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</si>
  <si>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</si>
  <si>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</si>
  <si>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</si>
  <si>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</si>
  <si>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</si>
  <si>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</si>
  <si>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</si>
  <si>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</si>
  <si>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</si>
  <si>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</si>
  <si>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</si>
  <si>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</si>
  <si>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</si>
  <si>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</si>
  <si>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</si>
  <si>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</si>
  <si>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</si>
  <si>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</si>
  <si>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</si>
  <si>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</si>
  <si>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</si>
  <si>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</si>
  <si>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</si>
  <si>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</si>
  <si>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</si>
  <si>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</si>
  <si>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</si>
  <si>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</si>
  <si>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</si>
  <si>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</si>
  <si>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</si>
  <si>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</si>
  <si>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</si>
  <si>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</si>
  <si>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</si>
  <si>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</si>
  <si>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</si>
  <si>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</si>
  <si>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</si>
  <si>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</si>
  <si>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</si>
  <si>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</si>
  <si>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</si>
  <si>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</si>
  <si>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</si>
  <si>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</si>
  <si>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</si>
  <si>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</si>
  <si>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</si>
  <si>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</si>
  <si>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</si>
  <si>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</si>
  <si>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</si>
  <si>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</si>
  <si>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</si>
  <si>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</si>
  <si>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</si>
  <si>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</si>
  <si>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</si>
  <si>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</si>
  <si>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</si>
  <si>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</si>
  <si>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</si>
  <si>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</si>
  <si>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</si>
  <si>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</si>
  <si>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</si>
  <si>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</si>
  <si>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</si>
  <si>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</si>
  <si>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</si>
  <si>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</si>
  <si>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</si>
  <si>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</si>
  <si>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</si>
  <si>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</si>
  <si>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</si>
  <si>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</si>
  <si>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</si>
  <si>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</si>
  <si>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</si>
  <si>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</si>
  <si>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</si>
  <si>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</si>
  <si>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</si>
  <si>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</si>
  <si>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</si>
  <si>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</si>
  <si>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</si>
  <si>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</si>
  <si>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</si>
  <si>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</si>
  <si>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</si>
  <si>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</si>
  <si>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</si>
  <si>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</si>
  <si>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</si>
  <si>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</si>
  <si>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</si>
  <si>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</si>
  <si>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</si>
  <si>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</si>
  <si>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</si>
  <si>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</si>
  <si>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</si>
  <si>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</si>
  <si>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</si>
  <si>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</si>
  <si>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</si>
  <si>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</si>
  <si>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</si>
  <si>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</si>
  <si>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</si>
  <si>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</si>
  <si>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</si>
  <si>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</si>
  <si>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</si>
  <si>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</si>
  <si>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</si>
  <si>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</si>
  <si>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</si>
  <si>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</si>
  <si>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</si>
  <si>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</si>
  <si>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</si>
  <si>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</si>
  <si>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</si>
  <si>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</si>
  <si>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</si>
  <si>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</si>
  <si>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</si>
  <si>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</si>
  <si>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</si>
  <si>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</si>
  <si>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</si>
  <si>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</si>
  <si>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</si>
  <si>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</si>
  <si>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</si>
  <si>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</si>
  <si>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</si>
  <si>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</si>
  <si>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</si>
  <si>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</si>
  <si>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</si>
  <si>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</si>
  <si>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</si>
  <si>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</si>
  <si>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</si>
  <si>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</si>
  <si>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</si>
  <si>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</si>
  <si>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</si>
  <si>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</si>
  <si>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</si>
  <si>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</si>
  <si>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</si>
  <si>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</si>
  <si>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</si>
  <si>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</si>
  <si>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</si>
  <si>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</si>
  <si>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</si>
  <si>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</si>
  <si>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</si>
  <si>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</si>
  <si>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</si>
  <si>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</si>
  <si>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</si>
  <si>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</si>
  <si>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</si>
  <si>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</si>
  <si>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</si>
  <si>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</si>
  <si>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</si>
  <si>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</si>
  <si>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</si>
  <si>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</si>
  <si>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</si>
  <si>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</si>
  <si>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</si>
  <si>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</si>
  <si>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</si>
  <si>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</si>
  <si>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</si>
  <si>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</si>
  <si>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</si>
  <si>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</si>
  <si>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</si>
  <si>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</si>
  <si>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</si>
  <si>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</si>
  <si>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</si>
  <si>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</si>
  <si>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</si>
  <si>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</si>
  <si>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</si>
  <si>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</si>
  <si>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</si>
  <si>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</si>
  <si>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</si>
  <si>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</si>
  <si>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</si>
  <si>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</si>
  <si>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</si>
  <si>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</si>
  <si>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</si>
  <si>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</si>
  <si>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</si>
  <si>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</si>
  <si>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</si>
  <si>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</si>
  <si>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</si>
  <si>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</si>
  <si>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</si>
  <si>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</si>
  <si>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</si>
  <si>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</si>
  <si>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</si>
  <si>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</si>
  <si>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</si>
  <si>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</si>
  <si>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</si>
  <si>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</si>
  <si>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</si>
  <si>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</si>
  <si>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</si>
  <si>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</si>
  <si>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</si>
  <si>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</si>
  <si>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</si>
  <si>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</si>
  <si>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</si>
  <si>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</si>
  <si>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</si>
  <si>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</si>
  <si>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</si>
  <si>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</si>
  <si>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</si>
  <si>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</si>
  <si>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</si>
  <si>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</si>
  <si>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</si>
  <si>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</si>
  <si>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</si>
  <si>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</si>
  <si>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</si>
  <si>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</si>
  <si>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</si>
  <si>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</si>
  <si>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</si>
  <si>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</si>
  <si>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</si>
  <si>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</si>
  <si>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</si>
  <si>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</si>
  <si>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</si>
  <si>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</si>
  <si>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</si>
  <si>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</si>
  <si>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</si>
  <si>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</si>
  <si>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</si>
  <si>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</si>
  <si>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</si>
  <si>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</si>
  <si>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</si>
  <si>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</si>
  <si>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</si>
  <si>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</si>
  <si>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</si>
  <si>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</si>
  <si>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</si>
  <si>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</si>
  <si>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</si>
  <si>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</si>
  <si>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</si>
  <si>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</si>
  <si>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</si>
  <si>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</si>
  <si>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</si>
  <si>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</si>
  <si>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</si>
  <si>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</si>
  <si>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</si>
  <si>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</si>
  <si>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</si>
  <si>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</si>
  <si>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</si>
  <si>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</si>
  <si>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</si>
  <si>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</si>
  <si>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</si>
  <si>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</si>
  <si>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</si>
  <si>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</si>
  <si>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</si>
  <si>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</si>
  <si>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</si>
  <si>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</si>
  <si>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</si>
  <si>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</si>
  <si>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</si>
  <si>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</si>
  <si>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</si>
  <si>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</si>
  <si>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</si>
  <si>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</si>
  <si>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</si>
  <si>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</si>
  <si>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</si>
  <si>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</si>
  <si>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</si>
  <si>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</si>
  <si>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</si>
  <si>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</si>
  <si>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</si>
  <si>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</si>
  <si>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</si>
  <si>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</si>
  <si>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</si>
  <si>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</si>
  <si>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</si>
  <si>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</si>
  <si>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</si>
  <si>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</si>
  <si>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</si>
  <si>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</si>
  <si>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</si>
  <si>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</si>
  <si>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</si>
  <si>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</si>
  <si>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</si>
  <si>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</si>
  <si>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</si>
  <si>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</si>
  <si>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</si>
  <si>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</si>
  <si>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</si>
  <si>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</si>
  <si>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</si>
  <si>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</si>
  <si>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</si>
  <si>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</si>
  <si>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</si>
  <si>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</si>
  <si>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</si>
  <si>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</si>
  <si>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</si>
  <si>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</si>
  <si>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</si>
  <si>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</si>
  <si>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</si>
  <si>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</si>
  <si>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</si>
  <si>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</si>
  <si>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</si>
  <si>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</si>
  <si>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</si>
  <si>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</si>
  <si>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</si>
  <si>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</si>
  <si>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</si>
  <si>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</si>
  <si>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</si>
  <si>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</si>
  <si>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</si>
  <si>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</si>
  <si>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</si>
  <si>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</si>
  <si>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</si>
  <si>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</si>
  <si>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</si>
  <si>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</si>
  <si>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</si>
  <si>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</si>
  <si>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</si>
  <si>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</si>
  <si>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</si>
  <si>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</si>
  <si>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</si>
  <si>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</si>
  <si>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</si>
  <si>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</si>
  <si>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</si>
  <si>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</si>
  <si>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</si>
  <si>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</si>
  <si>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</si>
  <si>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</si>
  <si>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</si>
  <si>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</si>
  <si>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</si>
  <si>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</si>
  <si>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</si>
  <si>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</si>
  <si>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</si>
  <si>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</si>
  <si>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</si>
  <si>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</si>
  <si>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</si>
  <si>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</si>
  <si>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</si>
  <si>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</si>
  <si>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</si>
  <si>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</si>
  <si>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</si>
  <si>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</si>
  <si>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</si>
  <si>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</si>
  <si>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</si>
  <si>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</si>
  <si>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</si>
  <si>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</si>
  <si>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</si>
  <si>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</si>
  <si>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</si>
  <si>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</si>
  <si>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</si>
  <si>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</si>
  <si>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</si>
  <si>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</si>
  <si>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</si>
  <si>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</si>
  <si>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</si>
  <si>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</si>
  <si>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</si>
  <si>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</si>
  <si>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</si>
  <si>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</si>
  <si>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</si>
  <si>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</si>
  <si>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</si>
  <si>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</si>
  <si>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</si>
  <si>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</si>
  <si>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</si>
  <si>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</si>
  <si>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</si>
  <si>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</si>
  <si>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</si>
  <si>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</si>
  <si>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</si>
  <si>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</si>
  <si>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</si>
  <si>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</si>
  <si>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</si>
  <si>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</si>
  <si>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</si>
  <si>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</si>
  <si>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</si>
  <si>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</si>
  <si>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</si>
  <si>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</si>
  <si>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</si>
  <si>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</si>
  <si>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</si>
  <si>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</si>
  <si>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</si>
  <si>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</si>
  <si>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</si>
  <si>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</si>
  <si>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</si>
  <si>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</si>
  <si>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</si>
  <si>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</si>
  <si>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</si>
  <si>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</si>
  <si>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</si>
  <si>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</si>
  <si>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</si>
  <si>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</si>
  <si>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</si>
  <si>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</si>
  <si>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</si>
  <si>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</si>
  <si>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</si>
  <si>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</si>
  <si>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</si>
  <si>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</si>
  <si>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</si>
  <si>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</si>
  <si>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</si>
  <si>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</si>
  <si>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</si>
  <si>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</si>
  <si>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</si>
  <si>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</si>
  <si>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</si>
  <si>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</si>
  <si>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</si>
  <si>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</si>
  <si>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</si>
  <si>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</si>
  <si>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</si>
  <si>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</si>
  <si>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</si>
  <si>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</si>
  <si>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</si>
  <si>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</si>
  <si>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</si>
  <si>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</si>
  <si>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</si>
  <si>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</si>
  <si>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</si>
  <si>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</si>
  <si>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</si>
  <si>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</si>
  <si>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SEVILLA</t>
  </si>
  <si>
    <t>Resumenes por Partidos Judiciales</t>
  </si>
  <si>
    <t>MARCHENA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</si>
</sst>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QT3RMU79JRp0bPwxzt2u1X97pneN8pWCUeK60BlOJFw6sORTVIQOGA+OROyb2Z8iO+Oo7gT+c7uVo9vX8dHxcw==" saltValue="uWz/zJGdFj3jOP6VEq0I9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v>
      </c>
      <c r="D10" s="230">
        <f>IF(ISNUMBER(Datos!I10),Datos!I10," - ")</f>
        <v>5</v>
      </c>
      <c r="E10" s="231">
        <f>IF(ISNUMBER(Datos!J10),Datos!J10," - ")</f>
        <v>1</v>
      </c>
      <c r="F10" s="231">
        <f>IF(ISNUMBER(Datos!K10),Datos!K10," - ")</f>
        <v>1</v>
      </c>
      <c r="G10" s="1193" t="str">
        <f>IF(Datos!E10&lt;&gt;"",Datos!E10,Datos!D10)</f>
        <v>37</v>
      </c>
      <c r="H10" s="232">
        <f>IF(ISNUMBER(Datos!L10),Datos!L10," - ")</f>
        <v>5</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55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20.56629213483146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v>
      </c>
      <c r="D14" s="1210">
        <f>SUBTOTAL(9,D9:D13)</f>
        <v>5</v>
      </c>
      <c r="E14" s="1211">
        <f>SUBTOTAL(9,E9:E13)</f>
        <v>1</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516</v>
      </c>
      <c r="D17" s="230">
        <f>IF(ISNUMBER(IF(D_I="SI",Datos!I17,Datos!I17+Datos!AC17)),IF(D_I="SI",Datos!I17,Datos!I17+Datos!AC17)," - ")</f>
        <v>516</v>
      </c>
      <c r="E17" s="231">
        <f>IF(ISNUMBER(IF(D_I="SI",Datos!J17,Datos!J17+Datos!AD17)),IF(D_I="SI",Datos!J17,Datos!J17+Datos!AD17)," - ")</f>
        <v>408</v>
      </c>
      <c r="F17" s="231">
        <f>IF(ISNUMBER(IF(D_I="SI",Datos!K17,Datos!K17+Datos!AE17)),IF(D_I="SI",Datos!K17,Datos!K17+Datos!AE17)," - ")</f>
        <v>375</v>
      </c>
      <c r="G17" s="1193" t="str">
        <f>IF(Datos!E17&lt;&gt;"",Datos!E17,Datos!D17)</f>
        <v>04</v>
      </c>
      <c r="H17" s="232">
        <f>IF(ISNUMBER(IF(D_I="SI",Datos!L17,Datos!L17+Datos!AF17)),IF(D_I="SI",Datos!L17,Datos!L17+Datos!AF17)," - ")</f>
        <v>549</v>
      </c>
      <c r="I17" s="1203" t="str">
        <f>IF(ISNUMBER(Datos!AS17/Datos!BM17),Datos!AS17/Datos!BM17," - ")</f>
        <v xml:space="preserve"> - </v>
      </c>
      <c r="J17" s="1204">
        <f>IF(ISNUMBER(Datos!BY17/Datos!CN17),Datos!BY17/Datos!CN17," - ")</f>
        <v>0</v>
      </c>
      <c r="K17" s="235">
        <f t="shared" si="3"/>
        <v>6.3953488372093026E-2</v>
      </c>
      <c r="L17" s="1205">
        <f>IF(ISNUMBER(NºAsuntos!I17/NºAsuntos!G17),(NºAsuntos!I17/NºAsuntos!G17)*11," - ")</f>
        <v>16.103999999999999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25</v>
      </c>
      <c r="D18" s="230">
        <f>IF(ISNUMBER(IF(D_I="SI",Datos!I18,Datos!I18+Datos!AC18)),IF(D_I="SI",Datos!I18,Datos!I18+Datos!AC18)," - ")</f>
        <v>25</v>
      </c>
      <c r="E18" s="231">
        <f>IF(ISNUMBER(IF(D_I="SI",Datos!J18,Datos!J18+Datos!AD18)),IF(D_I="SI",Datos!J18,Datos!J18+Datos!AD18)," - ")</f>
        <v>23</v>
      </c>
      <c r="F18" s="231">
        <f>IF(ISNUMBER(IF(D_I="SI",Datos!K18,Datos!K18+Datos!AE18)),IF(D_I="SI",Datos!K18,Datos!K18+Datos!AE18)," - ")</f>
        <v>16</v>
      </c>
      <c r="G18" s="1193" t="str">
        <f>IF(Datos!E18&lt;&gt;"",Datos!E18,Datos!D18)</f>
        <v>37</v>
      </c>
      <c r="H18" s="232">
        <f>IF(ISNUMBER(IF(D_I="SI",Datos!L18,Datos!L18+Datos!AF18)),IF(D_I="SI",Datos!L18,Datos!L18+Datos!AF18)," - ")</f>
        <v>32</v>
      </c>
      <c r="I18" s="1203" t="str">
        <f>IF(ISNUMBER(Datos!AS18/Datos!BM18),Datos!AS18/Datos!BM18," - ")</f>
        <v xml:space="preserve"> - </v>
      </c>
      <c r="J18" s="1204" t="str">
        <f>IF(ISNUMBER((Datos!BY18+Datos!BZ18)/Datos!CN18),(Datos!BY18+Datos!BZ18)/Datos!CN18," - ")</f>
        <v xml:space="preserve"> - </v>
      </c>
      <c r="K18" s="235">
        <f t="shared" si="3"/>
        <v>0.28000000000000003</v>
      </c>
      <c r="L18" s="1205">
        <f>IF(ISNUMBER(NºAsuntos!I18/NºAsuntos!G18),(NºAsuntos!I18/NºAsuntos!G18)*11," - ")</f>
        <v>22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541</v>
      </c>
      <c r="D20" s="1210">
        <f>SUBTOTAL(9,D16:D19)</f>
        <v>541</v>
      </c>
      <c r="E20" s="1211">
        <f>SUBTOTAL(9,E16:E19)</f>
        <v>431</v>
      </c>
      <c r="F20" s="1211">
        <f>SUBTOTAL(9,F16:F19)</f>
        <v>391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546</v>
      </c>
      <c r="D21" s="1232">
        <f>SUBTOTAL(9,D9:D20)</f>
        <v>546</v>
      </c>
      <c r="E21" s="1233">
        <f>SUBTOTAL(9,E9:E20)</f>
        <v>432</v>
      </c>
      <c r="F21" s="1233">
        <f>SUBTOTAL(9,F9:F20)</f>
        <v>392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DV1DMVPpNXvi/+Mt0uNK4vVzocaHkrd0NjblpPH16/NOXXoWXotQZ2q4fnllFKVB5oBsp9eIi/+PNxCGo6UhJA==" saltValue="UWKLtu/uIvIB45UuFN9MH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wDrKnnERuaJoWIQMakC3LpziSiD8j6JE/g8TfXEZ1bgLOXkl24XmUhDs/uKWv/G08Ke+rhoYXJRPa+yLT9t2NA==" saltValue="L3uNN+CfE8mq1UoLqeS+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5</v>
      </c>
      <c r="J10" s="186">
        <v>1</v>
      </c>
      <c r="K10" s="186">
        <v>1</v>
      </c>
      <c r="L10" s="186">
        <v>5</v>
      </c>
      <c r="M10" s="186">
        <v>1</v>
      </c>
      <c r="N10" s="186">
        <v>0</v>
      </c>
      <c r="O10" s="186">
        <v>0</v>
      </c>
      <c r="P10" s="186">
        <v>0</v>
      </c>
      <c r="Q10" s="186">
        <v>0</v>
      </c>
      <c r="R10" s="186">
        <v>3</v>
      </c>
      <c r="S10" s="186">
        <v>6</v>
      </c>
      <c r="T10" s="186">
        <v>1</v>
      </c>
      <c r="U10" s="186">
        <v>3</v>
      </c>
      <c r="V10" s="186">
        <v>4</v>
      </c>
      <c r="W10" s="186">
        <v>1</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6</v>
      </c>
      <c r="AZ10" s="131">
        <f t="shared" si="0"/>
        <v>1</v>
      </c>
      <c r="BA10" s="131">
        <f t="shared" si="0"/>
        <v>3</v>
      </c>
      <c r="BB10" s="131">
        <f t="shared" si="0"/>
        <v>4</v>
      </c>
      <c r="BC10" s="127">
        <f t="shared" si="0"/>
        <v>1</v>
      </c>
      <c r="BD10" s="128">
        <f>IF(ISNUMBER(BA10/AZ10),BA10/AZ10," - ")</f>
        <v>3</v>
      </c>
      <c r="BE10" s="129">
        <f>IF(ISNUMBER(BB10/BA10),BB10/BA10, " - ")</f>
        <v>1.3333333333333333</v>
      </c>
      <c r="BF10" s="129">
        <f>IF(ISNUMBER(BC10/BA10),BC10/BA10, " - ")</f>
        <v>0.33333333333333331</v>
      </c>
      <c r="BG10" s="201">
        <f>IF(ISNUMBER((AY10+AZ10)/BA10),(AY10+AZ10)/BA10," - ")</f>
        <v>2.3333333333333335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719</v>
      </c>
      <c r="J12" s="188">
        <v>490</v>
      </c>
      <c r="K12" s="188">
        <v>425</v>
      </c>
      <c r="L12" s="188">
        <v>784</v>
      </c>
      <c r="M12" s="188">
        <v>83</v>
      </c>
      <c r="N12" s="188">
        <v>205</v>
      </c>
      <c r="O12" s="186">
        <v>122</v>
      </c>
      <c r="P12" s="188">
        <v>61</v>
      </c>
      <c r="Q12" s="188">
        <v>109</v>
      </c>
      <c r="R12" s="188">
        <v>1430</v>
      </c>
      <c r="S12" s="188">
        <v>525</v>
      </c>
      <c r="T12" s="188">
        <v>239</v>
      </c>
      <c r="U12" s="188">
        <v>269</v>
      </c>
      <c r="V12" s="188">
        <v>559</v>
      </c>
      <c r="W12" s="188">
        <v>76</v>
      </c>
      <c r="X12" s="194">
        <v>50</v>
      </c>
      <c r="Y12" s="196">
        <v>45</v>
      </c>
      <c r="Z12" s="186">
        <v>23</v>
      </c>
      <c r="AA12" s="186">
        <v>20</v>
      </c>
      <c r="AB12" s="186">
        <v>48</v>
      </c>
      <c r="AC12" s="188">
        <v>0</v>
      </c>
      <c r="AD12" s="188">
        <v>0</v>
      </c>
      <c r="AE12" s="188">
        <v>0</v>
      </c>
      <c r="AF12" s="194">
        <v>0</v>
      </c>
      <c r="AG12" s="207">
        <v>51</v>
      </c>
      <c r="AH12" s="188">
        <v>18</v>
      </c>
      <c r="AI12" s="188">
        <v>17</v>
      </c>
      <c r="AJ12" s="208">
        <v>47</v>
      </c>
      <c r="AK12" s="187">
        <v>0</v>
      </c>
      <c r="AL12" s="188">
        <v>0</v>
      </c>
      <c r="AM12" s="188">
        <v>0</v>
      </c>
      <c r="AN12" s="194">
        <v>0</v>
      </c>
      <c r="AO12" s="264">
        <v>2</v>
      </c>
      <c r="AP12" s="160">
        <v>2</v>
      </c>
      <c r="AQ12" s="160">
        <v>2</v>
      </c>
      <c r="AR12" s="159">
        <v>2</v>
      </c>
      <c r="AS12" s="350" t="s">
        <v>874</v>
      </c>
      <c r="AT12" s="208"/>
      <c r="AU12" s="207"/>
      <c r="AV12" s="208"/>
      <c r="AW12" s="207"/>
      <c r="AX12" s="208"/>
      <c r="AY12" s="128">
        <f t="shared" si="1"/>
        <v>576</v>
      </c>
      <c r="AZ12" s="129">
        <f t="shared" si="1"/>
        <v>257</v>
      </c>
      <c r="BA12" s="129">
        <f t="shared" si="1"/>
        <v>286</v>
      </c>
      <c r="BB12" s="129">
        <f t="shared" si="1"/>
        <v>606</v>
      </c>
      <c r="BC12" s="127">
        <f>IF(ISNUMBER(X12),X12," - ")</f>
        <v>50</v>
      </c>
      <c r="BD12" s="128">
        <f t="shared" si="2"/>
        <v>1.1128404669260701</v>
      </c>
      <c r="BE12" s="129">
        <f t="shared" si="3"/>
        <v>2.1188811188811187</v>
      </c>
      <c r="BF12" s="129">
        <f t="shared" si="4"/>
        <v>0.17482517482517482</v>
      </c>
      <c r="BG12" s="201">
        <f t="shared" si="5"/>
        <v>2.9125874125874125</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724</v>
      </c>
      <c r="J14" s="189">
        <f t="shared" si="7"/>
        <v>491</v>
      </c>
      <c r="K14" s="189">
        <f t="shared" si="7"/>
        <v>426</v>
      </c>
      <c r="L14" s="189">
        <f t="shared" si="7"/>
        <v>789</v>
      </c>
      <c r="M14" s="189">
        <f t="shared" si="7"/>
        <v>84</v>
      </c>
      <c r="N14" s="189">
        <f t="shared" si="7"/>
        <v>205</v>
      </c>
      <c r="O14" s="189">
        <f t="shared" si="7"/>
        <v>122</v>
      </c>
      <c r="P14" s="189">
        <f t="shared" si="7"/>
        <v>61</v>
      </c>
      <c r="Q14" s="189">
        <f t="shared" si="7"/>
        <v>109</v>
      </c>
      <c r="R14" s="189">
        <f t="shared" si="7"/>
        <v>1433</v>
      </c>
      <c r="S14" s="189">
        <f t="shared" si="7"/>
        <v>531</v>
      </c>
      <c r="T14" s="189">
        <f t="shared" si="7"/>
        <v>240</v>
      </c>
      <c r="U14" s="189">
        <f t="shared" si="7"/>
        <v>272</v>
      </c>
      <c r="V14" s="189">
        <f t="shared" si="7"/>
        <v>563</v>
      </c>
      <c r="W14" s="189">
        <f t="shared" si="7"/>
        <v>77</v>
      </c>
      <c r="X14" s="189">
        <f t="shared" si="7"/>
        <v>52</v>
      </c>
      <c r="Y14" s="189">
        <f t="shared" si="7"/>
        <v>45</v>
      </c>
      <c r="Z14" s="189">
        <f t="shared" si="7"/>
        <v>23</v>
      </c>
      <c r="AA14" s="189">
        <f t="shared" si="7"/>
        <v>20</v>
      </c>
      <c r="AB14" s="189">
        <f t="shared" si="7"/>
        <v>48</v>
      </c>
      <c r="AC14" s="189">
        <f t="shared" si="7"/>
        <v>0</v>
      </c>
      <c r="AD14" s="189">
        <f t="shared" si="7"/>
        <v>0</v>
      </c>
      <c r="AE14" s="189">
        <f t="shared" si="7"/>
        <v>0</v>
      </c>
      <c r="AF14" s="189">
        <f>SUBTOTAL(9,AF9:AF13)</f>
        <v>0</v>
      </c>
      <c r="AG14" s="189">
        <f t="shared" ref="AG14:AT14" si="8">SUBTOTAL(9,AG8:AG13)</f>
        <v>51</v>
      </c>
      <c r="AH14" s="189">
        <f t="shared" si="8"/>
        <v>18</v>
      </c>
      <c r="AI14" s="189">
        <f t="shared" si="8"/>
        <v>17</v>
      </c>
      <c r="AJ14" s="189">
        <f t="shared" si="8"/>
        <v>47</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582</v>
      </c>
      <c r="AZ14" s="189">
        <f>SUBTOTAL(9,AZ8:AZ13)</f>
        <v>258</v>
      </c>
      <c r="BA14" s="189">
        <f>SUBTOTAL(9,BA8:BA13)</f>
        <v>289</v>
      </c>
      <c r="BB14" s="189">
        <f>SUBTOTAL(9,BB8:BB13)</f>
        <v>610</v>
      </c>
      <c r="BC14" s="189">
        <f>SUBTOTAL(9,BC8:BC13)</f>
        <v>51</v>
      </c>
      <c r="BD14" s="210">
        <f>IF(ISNUMBER(BA14/AZ14),BA14/AZ14," - ")</f>
        <v>1.1201550387596899</v>
      </c>
      <c r="BE14" s="211">
        <f>IF(ISNUMBER(BB14/BA14),BB14/BA14, " - ")</f>
        <v>2.1107266435986158</v>
      </c>
      <c r="BF14" s="211">
        <f>IF(ISNUMBER(BC14/BA14),BC14/BA14, " - ")</f>
        <v>0.17647058823529413</v>
      </c>
      <c r="BG14" s="212">
        <f>IF(ISNUMBER((AY14+AZ14)/BA14),(AY14+AZ14)/BA14," - ")</f>
        <v>2.9065743944636679</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516</v>
      </c>
      <c r="J17" s="188">
        <v>408</v>
      </c>
      <c r="K17" s="188">
        <v>375</v>
      </c>
      <c r="L17" s="188">
        <v>549</v>
      </c>
      <c r="M17" s="188">
        <v>51</v>
      </c>
      <c r="N17" s="188">
        <v>210</v>
      </c>
      <c r="O17" s="186">
        <v>0</v>
      </c>
      <c r="P17" s="188">
        <v>19</v>
      </c>
      <c r="Q17" s="188">
        <v>16</v>
      </c>
      <c r="R17" s="188">
        <v>52</v>
      </c>
      <c r="S17" s="188">
        <v>522</v>
      </c>
      <c r="T17" s="188">
        <v>415</v>
      </c>
      <c r="U17" s="188">
        <v>322</v>
      </c>
      <c r="V17" s="188">
        <v>485</v>
      </c>
      <c r="W17" s="188">
        <v>46</v>
      </c>
      <c r="X17" s="194">
        <v>164</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522</v>
      </c>
      <c r="AZ17" s="129">
        <f t="shared" si="10"/>
        <v>415</v>
      </c>
      <c r="BA17" s="129">
        <f t="shared" si="10"/>
        <v>322</v>
      </c>
      <c r="BB17" s="129">
        <f t="shared" si="10"/>
        <v>485</v>
      </c>
      <c r="BC17" s="127">
        <f>IF(ISNUMBER(W17),W17," - ")</f>
        <v>46</v>
      </c>
      <c r="BD17" s="128">
        <f t="shared" ref="BD17:BD19" si="12">IF(ISNUMBER(BA17/AZ17),BA17/AZ17," - ")</f>
        <v>0.77590361445783129</v>
      </c>
      <c r="BE17" s="129">
        <f t="shared" ref="BE17:BE19" si="13">IF(ISNUMBER(BB17/BA17),BB17/BA17, " - ")</f>
        <v>1.5062111801242235</v>
      </c>
      <c r="BF17" s="129">
        <f t="shared" ref="BF17:BF19" si="14">IF(ISNUMBER(BC17/BA17),BC17/BA17, " - ")</f>
        <v>0.14285714285714285</v>
      </c>
      <c r="BG17" s="201">
        <f t="shared" si="11"/>
        <v>2.9099378881987579</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25</v>
      </c>
      <c r="J18" s="188">
        <v>23</v>
      </c>
      <c r="K18" s="188">
        <v>16</v>
      </c>
      <c r="L18" s="188">
        <v>32</v>
      </c>
      <c r="M18" s="188">
        <v>3</v>
      </c>
      <c r="N18" s="188">
        <v>12</v>
      </c>
      <c r="O18" s="188">
        <v>0</v>
      </c>
      <c r="P18" s="188">
        <v>0</v>
      </c>
      <c r="Q18" s="188">
        <v>0</v>
      </c>
      <c r="R18" s="188">
        <v>3</v>
      </c>
      <c r="S18" s="188">
        <v>14</v>
      </c>
      <c r="T18" s="188">
        <v>19</v>
      </c>
      <c r="U18" s="188">
        <v>16</v>
      </c>
      <c r="V18" s="188">
        <v>20</v>
      </c>
      <c r="W18" s="188">
        <v>4</v>
      </c>
      <c r="X18" s="194">
        <v>10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14</v>
      </c>
      <c r="AZ18" s="131">
        <f t="shared" si="15"/>
        <v>19</v>
      </c>
      <c r="BA18" s="131">
        <f t="shared" si="15"/>
        <v>16</v>
      </c>
      <c r="BB18" s="131">
        <f t="shared" si="15"/>
        <v>20</v>
      </c>
      <c r="BC18" s="127">
        <f>IF(ISNUMBER(W18),W18," - ")</f>
        <v>4</v>
      </c>
      <c r="BD18" s="128">
        <f>IF(ISNUMBER(BA18/AZ18),BA18/AZ18," - ")</f>
        <v>0.84210526315789469</v>
      </c>
      <c r="BE18" s="129">
        <f>IF(ISNUMBER(BB18/BA18),BB18/BA18, " - ")</f>
        <v>1.25</v>
      </c>
      <c r="BF18" s="129">
        <f>IF(ISNUMBER(BC18/BA18),BC18/BA18, " - ")</f>
        <v>0.25</v>
      </c>
      <c r="BG18" s="201">
        <f>IF(ISNUMBER((AY18+AZ18)/BA18),(AY18+AZ18)/BA18," - ")</f>
        <v>2.0625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541</v>
      </c>
      <c r="J20" s="189">
        <f t="shared" si="16"/>
        <v>431</v>
      </c>
      <c r="K20" s="189">
        <f t="shared" si="16"/>
        <v>391</v>
      </c>
      <c r="L20" s="189">
        <f t="shared" si="16"/>
        <v>581</v>
      </c>
      <c r="M20" s="189">
        <f t="shared" si="16"/>
        <v>54</v>
      </c>
      <c r="N20" s="189">
        <f t="shared" si="16"/>
        <v>222</v>
      </c>
      <c r="O20" s="189">
        <f t="shared" si="16"/>
        <v>0</v>
      </c>
      <c r="P20" s="189">
        <f t="shared" si="16"/>
        <v>19</v>
      </c>
      <c r="Q20" s="189">
        <f t="shared" si="16"/>
        <v>16</v>
      </c>
      <c r="R20" s="189">
        <f t="shared" si="16"/>
        <v>55</v>
      </c>
      <c r="S20" s="189">
        <f t="shared" si="16"/>
        <v>536</v>
      </c>
      <c r="T20" s="189">
        <f t="shared" si="16"/>
        <v>434</v>
      </c>
      <c r="U20" s="189">
        <f t="shared" si="16"/>
        <v>338</v>
      </c>
      <c r="V20" s="189">
        <f t="shared" si="16"/>
        <v>505</v>
      </c>
      <c r="W20" s="189">
        <f t="shared" si="16"/>
        <v>50</v>
      </c>
      <c r="X20" s="189">
        <f t="shared" si="16"/>
        <v>174</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536</v>
      </c>
      <c r="AZ20" s="189">
        <f>SUBTOTAL(9,AZ15:AZ19)</f>
        <v>434</v>
      </c>
      <c r="BA20" s="189">
        <f>SUBTOTAL(9,BA15:BA19)</f>
        <v>338</v>
      </c>
      <c r="BB20" s="189">
        <f>SUBTOTAL(9,BB15:BB19)</f>
        <v>505</v>
      </c>
      <c r="BC20" s="189">
        <f>SUBTOTAL(9,BC15:BC19)</f>
        <v>50</v>
      </c>
      <c r="BD20" s="210">
        <f>IF(ISNUMBER(BA20/AZ20),BA20/AZ20," - ")</f>
        <v>0.77880184331797231</v>
      </c>
      <c r="BE20" s="211">
        <f>IF(ISNUMBER(BB20/BA20),BB20/BA20, " - ")</f>
        <v>1.4940828402366864</v>
      </c>
      <c r="BF20" s="211">
        <f>IF(ISNUMBER(BC20/BA20),BC20/BA20, " - ")</f>
        <v>0.14792899408284024</v>
      </c>
      <c r="BG20" s="212">
        <f>IF(ISNUMBER((AY20+AZ20)/BA20),(AY20+AZ20)/BA20," - ")</f>
        <v>2.8698224852071004</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1265</v>
      </c>
      <c r="J21" s="136">
        <f t="shared" si="19"/>
        <v>922</v>
      </c>
      <c r="K21" s="136">
        <f t="shared" si="19"/>
        <v>817</v>
      </c>
      <c r="L21" s="136">
        <f t="shared" si="19"/>
        <v>1370</v>
      </c>
      <c r="M21" s="136">
        <f t="shared" si="19"/>
        <v>138</v>
      </c>
      <c r="N21" s="136">
        <f t="shared" si="19"/>
        <v>427</v>
      </c>
      <c r="O21" s="136">
        <f t="shared" si="19"/>
        <v>122</v>
      </c>
      <c r="P21" s="136">
        <f t="shared" si="19"/>
        <v>80</v>
      </c>
      <c r="Q21" s="136">
        <f t="shared" si="19"/>
        <v>125</v>
      </c>
      <c r="R21" s="136">
        <f t="shared" si="19"/>
        <v>1488</v>
      </c>
      <c r="S21" s="136">
        <f t="shared" si="19"/>
        <v>1067</v>
      </c>
      <c r="T21" s="136">
        <f t="shared" si="19"/>
        <v>674</v>
      </c>
      <c r="U21" s="136">
        <f t="shared" si="19"/>
        <v>610</v>
      </c>
      <c r="V21" s="136">
        <f t="shared" si="19"/>
        <v>1068</v>
      </c>
      <c r="W21" s="136">
        <f t="shared" si="19"/>
        <v>127</v>
      </c>
      <c r="X21" s="136">
        <f t="shared" si="19"/>
        <v>226</v>
      </c>
      <c r="Y21" s="136">
        <f t="shared" si="19"/>
        <v>45</v>
      </c>
      <c r="Z21" s="136">
        <f t="shared" si="19"/>
        <v>23</v>
      </c>
      <c r="AA21" s="136">
        <f t="shared" si="19"/>
        <v>20</v>
      </c>
      <c r="AB21" s="136">
        <f t="shared" si="19"/>
        <v>48</v>
      </c>
      <c r="AC21" s="136">
        <f t="shared" si="19"/>
        <v>0</v>
      </c>
      <c r="AD21" s="136">
        <f t="shared" si="19"/>
        <v>0</v>
      </c>
      <c r="AE21" s="136">
        <f t="shared" si="19"/>
        <v>0</v>
      </c>
      <c r="AF21" s="136">
        <f t="shared" si="19"/>
        <v>0</v>
      </c>
      <c r="AG21" s="136">
        <f t="shared" si="19"/>
        <v>51</v>
      </c>
      <c r="AH21" s="136">
        <f t="shared" si="19"/>
        <v>18</v>
      </c>
      <c r="AI21" s="136">
        <f t="shared" si="19"/>
        <v>17</v>
      </c>
      <c r="AJ21" s="136">
        <f t="shared" si="19"/>
        <v>47</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1118</v>
      </c>
      <c r="AZ21" s="136">
        <f>SUBTOTAL(9,AZ9:AZ20)</f>
        <v>692</v>
      </c>
      <c r="BA21" s="136">
        <f>SUBTOTAL(9,BA9:BA20)</f>
        <v>627</v>
      </c>
      <c r="BB21" s="136">
        <f>SUBTOTAL(9,BB9:BB20)</f>
        <v>1115</v>
      </c>
      <c r="BC21" s="137">
        <f>SUBTOTAL(9,BC9:BC20)</f>
        <v>101</v>
      </c>
      <c r="BD21" s="218">
        <f>IF(ISNUMBER(BA21/AZ21),BA21/AZ21," - ")</f>
        <v>0.90606936416184969</v>
      </c>
      <c r="BE21" s="215">
        <f>IF(ISNUMBER(BB21/BA21),BB21/BA21, " - ")</f>
        <v>1.7783094098883572</v>
      </c>
      <c r="BF21" s="215">
        <f>IF(ISNUMBER(BC21/BA21),BC21/BA21, " - ")</f>
        <v>0.16108452950558214</v>
      </c>
      <c r="BG21" s="137">
        <f>IF(ISNUMBER((AY21+AZ21)/BA21),(AY21+AZ21)/BA21," - ")</f>
        <v>2.8867623604465709</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646OphF7krX4syq2j7UIxQ9uzkXPdyUv4h23KAdV6XyqrRRjZ7ju4GuLQM+KYpcjydjIb1h4MmTJa8QFb2CBHA==" saltValue="Hxvu1vJhdVKmSBgwT8Vl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AtTQ3YOmPAuW9b8OPQKdhbjaepgSOLEw/HkMANw8w58OJ1zm4dZfNxAOIroPIVkf1RfqxbCRvQsEZmwmw6UpA==" saltValue="28dECTOzsI58gQNyOSGzT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SEVILLA  Resumenes por Partidos Judiciales  MARCHENA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5</v>
      </c>
      <c r="G10" s="498">
        <f>IF(ISNUMBER(Datos!I10),Datos!I10," - ")</f>
        <v>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5</v>
      </c>
      <c r="AG10" s="504"/>
      <c r="AH10" s="504"/>
      <c r="AI10" s="504"/>
      <c r="AJ10" s="504"/>
      <c r="AK10" s="504"/>
      <c r="AL10" s="505"/>
      <c r="AM10" s="672">
        <f>IF(ISNUMBER(Datos!R10),Datos!R10," - ")</f>
        <v>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15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23</v>
      </c>
      <c r="O12" s="504"/>
      <c r="P12" s="504"/>
      <c r="Q12" s="502">
        <f>IF(ISNUMBER(Datos!P12),Datos!P12,0)</f>
        <v>61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109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48</v>
      </c>
      <c r="AI12" s="504" t="str">
        <f>IF(ISNUMBER(Datos!CD12),Datos!CD12,"-")</f>
        <v>-</v>
      </c>
      <c r="AJ12" s="504" t="str">
        <f>IF(ISNUMBER(Datos!EN12),Datos!EN12," - ")</f>
        <v xml:space="preserve"> - </v>
      </c>
      <c r="AK12" s="504"/>
      <c r="AL12" s="505"/>
      <c r="AM12" s="672">
        <f>IF(ISNUMBER(Datos!R12),Datos!R12," - ")</f>
        <v>1430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83</v>
      </c>
      <c r="BD12" s="620">
        <f>IF(ISNUMBER(Datos!N12),Datos!N12," - ")</f>
        <v>205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0.86744639376218324</v>
      </c>
      <c r="BH12" s="670">
        <f>IF(ISNUMBER(((IF(J_V="SI",Datos!L12/Datos!K12,(Datos!L12+Datos!AB12)/(Datos!K12+Datos!AA12)))*11)/factor_trimestre),((IF(J_V="SI",Datos!L12/Datos!K12,(Datos!L12+Datos!AB12)/(Datos!K12+Datos!AA12)))*11)/factor_trimestre," - ")</f>
        <v>5.6089887640449438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-3.2476319350473612E-2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5</v>
      </c>
      <c r="G14" s="1045">
        <f t="shared" si="1"/>
        <v>5</v>
      </c>
      <c r="H14" s="1046">
        <f t="shared" si="1"/>
        <v>0</v>
      </c>
      <c r="I14" s="1045">
        <f t="shared" si="1"/>
        <v>0</v>
      </c>
      <c r="J14" s="1014">
        <f t="shared" si="1"/>
        <v>0</v>
      </c>
      <c r="K14" s="1014">
        <f t="shared" si="1"/>
        <v>0</v>
      </c>
      <c r="L14" s="1046">
        <f t="shared" si="1"/>
        <v>0</v>
      </c>
      <c r="M14" s="1046">
        <f t="shared" si="1"/>
        <v>0</v>
      </c>
      <c r="N14" s="1046">
        <f t="shared" si="1"/>
        <v>23</v>
      </c>
      <c r="O14" s="1047">
        <f t="shared" si="1"/>
        <v>0</v>
      </c>
      <c r="P14" s="1047">
        <f t="shared" si="1"/>
        <v>0</v>
      </c>
      <c r="Q14" s="1046">
        <f t="shared" si="1"/>
        <v>61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109</v>
      </c>
      <c r="AD14" s="1046">
        <f t="shared" si="2"/>
        <v>0</v>
      </c>
      <c r="AE14" s="1046">
        <f t="shared" si="2"/>
        <v>0</v>
      </c>
      <c r="AF14" s="1046">
        <f t="shared" si="2"/>
        <v>5</v>
      </c>
      <c r="AG14" s="1046">
        <f t="shared" si="2"/>
        <v>0</v>
      </c>
      <c r="AH14" s="1046">
        <f t="shared" si="2"/>
        <v>48</v>
      </c>
      <c r="AI14" s="1046">
        <f t="shared" si="2"/>
        <v>0</v>
      </c>
      <c r="AJ14" s="1046">
        <f t="shared" si="2"/>
        <v>0</v>
      </c>
      <c r="AK14" s="1046">
        <f t="shared" si="2"/>
        <v>0</v>
      </c>
      <c r="AL14" s="1046">
        <f t="shared" si="2"/>
        <v>0</v>
      </c>
      <c r="AM14" s="1046">
        <f t="shared" si="2"/>
        <v>1433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84</v>
      </c>
      <c r="BD14" s="1046">
        <f t="shared" si="2"/>
        <v>205</v>
      </c>
      <c r="BE14" s="1046">
        <f t="shared" si="2"/>
        <v>0</v>
      </c>
      <c r="BF14" s="1046">
        <f t="shared" si="2"/>
        <v>0</v>
      </c>
      <c r="BG14" s="1046">
        <f>IF(ISNUMBER(Datos!K14/Datos!J14),Datos!K14/Datos!J14," - ")</f>
        <v>0.86761710794297353</v>
      </c>
      <c r="BH14" s="1050">
        <f>IF(ISNUMBER(((Datos!L14/Datos!K14)*11)/factor_trimestre),((Datos!L14/Datos!K14)*11)/factor_trimestre," - ")</f>
        <v>5.5563380281690149</v>
      </c>
      <c r="BI14" s="1046">
        <f>IF(ISNUMBER('Resol  Asuntos'!D14/NºAsuntos!G14),'Resol  Asuntos'!D14/NºAsuntos!G14," - ")</f>
        <v>0.18834080717488788</v>
      </c>
      <c r="BJ14" s="1046" t="str">
        <f>IF(ISNUMBER(Datos!CI14/Datos!CJ14),Datos!CI14/Datos!CJ14," - ")</f>
        <v xml:space="preserve"> - </v>
      </c>
      <c r="BK14" s="1046">
        <f>SUBTOTAL(9,BK8:BK13)</f>
        <v>0</v>
      </c>
      <c r="BL14" s="1046">
        <f>IF(ISNUMBER((I14-AB14+L14)/(F14)),(I14-AB14+L14)/(F14)," - ")</f>
        <v>-0.2</v>
      </c>
      <c r="BM14" s="1051">
        <f>SUBTOTAL(9,BM9:BM13)</f>
        <v>-3.2476319350473612E-2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516</v>
      </c>
      <c r="G17" s="651">
        <f>IF(ISNUMBER(IF(D_I="SI",Datos!I17,Datos!I17+Datos!AC17)),IF(D_I="SI",Datos!I17,Datos!I17+Datos!AC17)," - ")</f>
        <v>516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375</v>
      </c>
      <c r="AC17" s="231">
        <f>IF(ISNUMBER(Datos!Q17),Datos!Q17," - ")</f>
        <v>16</v>
      </c>
      <c r="AD17" s="344"/>
      <c r="AE17" s="516"/>
      <c r="AF17" s="649">
        <f>IF(ISNUMBER(IF(D_I="SI",Datos!L17,Datos!L17+Datos!AF17)),IF(D_I="SI",Datos!L17,Datos!L17+Datos!AF17)," - ")</f>
        <v>549</v>
      </c>
      <c r="AG17" s="344"/>
      <c r="AH17" s="344"/>
      <c r="AI17" s="344"/>
      <c r="AJ17" s="504"/>
      <c r="AK17" s="344"/>
      <c r="AL17" s="500"/>
      <c r="AM17" s="345">
        <f>IF(ISNUMBER(Datos!R17),Datos!R17," - ")</f>
        <v>52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51</v>
      </c>
      <c r="BD17" s="234">
        <f>IF(ISNUMBER(Datos!N17),Datos!N17," - ")</f>
        <v>210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0.91911764705882348</v>
      </c>
      <c r="BH17" s="670">
        <f>IF(ISNUMBER(((IF(D_I="SI",Datos!L17/Datos!K17,(Datos!L17+Datos!AF17)/(Datos!K17+Datos!AE17)))*11)/factor_trimestre),((IF(D_I="SI",Datos!L17/Datos!K17,(Datos!L17+Datos!AF17)/(Datos!K17+Datos!AE17)))*11)/factor_trimestre," - ")</f>
        <v>4.3920000000000003</v>
      </c>
      <c r="BI17" s="248">
        <f>IF(ISNUMBER('Resol  Asuntos'!D17/NºAsuntos!G17),'Resol  Asuntos'!D17/NºAsuntos!G17," - ")</f>
        <v>0.13600000000000001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16</v>
      </c>
      <c r="AC18" s="502">
        <f>IF(ISNUMBER(Datos!Q18),Datos!Q18," - ")</f>
        <v>0</v>
      </c>
      <c r="AD18" s="504"/>
      <c r="AE18" s="516"/>
      <c r="AF18" s="506">
        <f>IF(ISNUMBER(Datos!L18),Datos!L18,"-")</f>
        <v>32</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12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0.69565217391304346</v>
      </c>
      <c r="BH18" s="670">
        <f>IF(ISNUMBER(((IF(D_I="SI",Datos!L18/Datos!K18,(Datos!L18+Datos!AF18)/(Datos!K18+Datos!AE18)))*11)/factor_trimestre),((IF(D_I="SI",Datos!L18/Datos!K18,(Datos!L18+Datos!AF18)/(Datos!K18+Datos!AE18)))*11)/factor_trimestre," - ")</f>
        <v>6</v>
      </c>
      <c r="BI18" s="669">
        <f>IF(ISNUMBER('Resol  Asuntos'!D18/NºAsuntos!G18),'Resol  Asuntos'!D18/NºAsuntos!G18," - ")</f>
        <v>0.1875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516</v>
      </c>
      <c r="G20" s="1045">
        <f>SUBTOTAL(9,G16:G19)</f>
        <v>541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391</v>
      </c>
      <c r="AC20" s="1046">
        <f t="shared" si="5"/>
        <v>16</v>
      </c>
      <c r="AD20" s="1046">
        <f t="shared" si="5"/>
        <v>0</v>
      </c>
      <c r="AE20" s="1046">
        <f t="shared" si="5"/>
        <v>0</v>
      </c>
      <c r="AF20" s="1046">
        <f t="shared" si="5"/>
        <v>581</v>
      </c>
      <c r="AG20" s="1046">
        <f t="shared" si="5"/>
        <v>0</v>
      </c>
      <c r="AH20" s="1046">
        <f t="shared" si="5"/>
        <v>0</v>
      </c>
      <c r="AI20" s="1046">
        <f t="shared" si="5"/>
        <v>0</v>
      </c>
      <c r="AJ20" s="1046">
        <f t="shared" si="5"/>
        <v>0</v>
      </c>
      <c r="AK20" s="1046">
        <f t="shared" si="5"/>
        <v>0</v>
      </c>
      <c r="AL20" s="1046">
        <f t="shared" si="5"/>
        <v>0</v>
      </c>
      <c r="AM20" s="1046">
        <f t="shared" si="5"/>
        <v>55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54</v>
      </c>
      <c r="BD20" s="1046">
        <f t="shared" si="5"/>
        <v>222</v>
      </c>
      <c r="BE20" s="1046">
        <f t="shared" si="5"/>
        <v>0</v>
      </c>
      <c r="BF20" s="1046">
        <f t="shared" si="5"/>
        <v>0</v>
      </c>
      <c r="BG20" s="1046">
        <f>IF(ISNUMBER(Datos!K20/Datos!J20),Datos!K20/Datos!J20," - ")</f>
        <v>0.90719257540603249</v>
      </c>
      <c r="BH20" s="1050">
        <f>IF(ISNUMBER(((Datos!L20/Datos!K20)*11)/factor_trimestre),((Datos!L20/Datos!K20)*11)/factor_trimestre," - ")</f>
        <v>4.4578005115089514</v>
      </c>
      <c r="BI20" s="1046">
        <f>SUBTOTAL(9,BI16:BI19)</f>
        <v>0.32350000000000001</v>
      </c>
      <c r="BJ20" s="1046">
        <f>SUBTOTAL(9,BJ16:BJ19)</f>
        <v>0</v>
      </c>
      <c r="BK20" s="1046">
        <f>SUBTOTAL(9,BK16:BK19)</f>
        <v>0</v>
      </c>
      <c r="BL20" s="1046">
        <f>IF(ISNUMBER((I20-AB20+L20)/(F20)),(I20-AB20+L20)/(F20)," - ")</f>
        <v>-0.75775193798449614</v>
      </c>
      <c r="BM20" s="1052">
        <f>IF(ISNUMBER((Datos!P20-Datos!Q20)/(Datos!R20-Datos!P20+Datos!Q20)),(Datos!P20-Datos!Q20)/(Datos!R20-Datos!P20+Datos!Q20)," - ")</f>
        <v>5.7692307692307696E-2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521</v>
      </c>
      <c r="G21" s="967">
        <f t="shared" si="7"/>
        <v>546</v>
      </c>
      <c r="H21" s="969">
        <f t="shared" si="7"/>
        <v>0</v>
      </c>
      <c r="I21" s="967">
        <f t="shared" si="7"/>
        <v>0</v>
      </c>
      <c r="J21" s="969">
        <f t="shared" si="7"/>
        <v>0</v>
      </c>
      <c r="K21" s="969">
        <f t="shared" si="7"/>
        <v>0</v>
      </c>
      <c r="L21" s="1028">
        <f t="shared" si="7"/>
        <v>0</v>
      </c>
      <c r="M21" s="1028">
        <f t="shared" si="7"/>
        <v>0</v>
      </c>
      <c r="N21" s="1028">
        <f t="shared" si="7"/>
        <v>23</v>
      </c>
      <c r="O21" s="1028">
        <f t="shared" si="7"/>
        <v>0</v>
      </c>
      <c r="P21" s="1028">
        <f t="shared" si="7"/>
        <v>0</v>
      </c>
      <c r="Q21" s="969">
        <f t="shared" si="7"/>
        <v>80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392</v>
      </c>
      <c r="AC21" s="968">
        <f t="shared" si="8"/>
        <v>125</v>
      </c>
      <c r="AD21" s="968">
        <f t="shared" si="8"/>
        <v>0</v>
      </c>
      <c r="AE21" s="968">
        <f t="shared" si="8"/>
        <v>0</v>
      </c>
      <c r="AF21" s="975">
        <f t="shared" si="8"/>
        <v>586</v>
      </c>
      <c r="AG21" s="975">
        <f t="shared" si="8"/>
        <v>0</v>
      </c>
      <c r="AH21" s="975">
        <f t="shared" si="8"/>
        <v>48</v>
      </c>
      <c r="AI21" s="975">
        <f t="shared" si="8"/>
        <v>0</v>
      </c>
      <c r="AJ21" s="968">
        <f t="shared" si="8"/>
        <v>0</v>
      </c>
      <c r="AK21" s="975">
        <f t="shared" si="8"/>
        <v>0</v>
      </c>
      <c r="AL21" s="975">
        <f t="shared" si="8"/>
        <v>0</v>
      </c>
      <c r="AM21" s="975">
        <f t="shared" si="8"/>
        <v>1488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138</v>
      </c>
      <c r="BD21" s="967">
        <f t="shared" si="8"/>
        <v>427</v>
      </c>
      <c r="BE21" s="967">
        <f t="shared" si="8"/>
        <v>0</v>
      </c>
      <c r="BF21" s="977">
        <f t="shared" si="8"/>
        <v>0</v>
      </c>
      <c r="BG21" s="1062">
        <f>IF(ISNUMBER(Datos!K21/Datos!J21),Datos!K21/Datos!J21," - ")</f>
        <v>0.88611713665943603</v>
      </c>
      <c r="BH21" s="1062">
        <f>IF(ISNUMBER(((Datos!L21/Datos!K21)*11)/factor_trimestre),((Datos!L21/Datos!K21)*11)/factor_trimestre," - ")</f>
        <v>5.0305997552019583</v>
      </c>
      <c r="BI21" s="960">
        <f>IF(ISNUMBER(Datos!J21/Datos!I21),Datos!J21/Datos!I21," - ")</f>
        <v>0.72885375494071147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-0.75239923224568139</v>
      </c>
      <c r="BM21" s="1036">
        <f>IF(ISNUMBER((Datos!P21-Datos!Q21+R21)/(Datos!R21-Datos!P21+Datos!Q21-R21)),(Datos!P21-Datos!Q21+R21)/(Datos!R21-Datos!P21+Datos!Q21-R21)," - ")</f>
        <v>-2.9354207436399216E-2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218.4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295.02598755589878</v>
      </c>
      <c r="G23" s="601">
        <f>IF(ISNUMBER(STDEV(G8:G20)),STDEV(G8:G20),"-")</f>
        <v>283.33690193831092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206.65962353590021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36.813041167499321</v>
      </c>
      <c r="BD23" s="600"/>
      <c r="BE23" s="600">
        <f>IF(ISNUMBER(STDEV(BE8:BE20)),STDEV(BE8:BE20),"-")</f>
        <v>0</v>
      </c>
      <c r="BF23" s="605">
        <f>IF(ISNUMBER(STDEV(BF8:BF20)),STDEV(BF8:BF20),"-")</f>
        <v>0</v>
      </c>
      <c r="BG23" s="915">
        <f>IF(ISNUMBER(STDEV(BG8:BG20)),STDEV(BG8:BG20),"-")</f>
        <v>0.10087289851135176</v>
      </c>
      <c r="BH23" s="919">
        <f>IF(ISNUMBER(STDEV(BH8:BH20)),STDEV(BH8:BH20),"-")</f>
        <v>4.0526991503302172</v>
      </c>
      <c r="BI23" s="254">
        <f>IF(ISNUMBER(STDEV(BI8:BI20)),STDEV(BI8:BI20),"-")</f>
        <v>8.0266625722006393E-2</v>
      </c>
      <c r="BJ23" s="235" t="str">
        <f>IF(ISNUMBER(BL23/BM23),BL23/BM23," - ")</f>
        <v xml:space="preserve"> - </v>
      </c>
      <c r="BK23" s="627"/>
      <c r="BL23" s="608">
        <f>IF(ISNUMBER(STDEV(BL8:BL20)),STDEV(BL8:BL20),"-")</f>
        <v>0.39439017756877609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e3NpeQjLp8NKN2Vfp4gc1whBxHdU9kvNc7iX/o2U/GEU7s7rSczgZ4snINZ1p1GvfNLtXZ9qPB8NMGzM+NxaCA==" saltValue="K3vYpJ74goE46GoDnj8T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SEVILLA  Resumenes por Partidos Judiciales  MARCHENA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5</v>
      </c>
      <c r="G10" s="507">
        <f>IF(ISNUMBER(Datos!I10),Datos!I10," - ")</f>
        <v>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5</v>
      </c>
      <c r="AB10" s="504"/>
      <c r="AC10" s="504"/>
      <c r="AD10" s="517"/>
      <c r="AE10" s="517">
        <f>IF(ISNUMBER(Datos!R10),Datos!R10," - ")</f>
        <v>3</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61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109</v>
      </c>
      <c r="AA12" s="506" t="str">
        <f>IF(ISNUMBER(IF(J_V="SI",Datos!L12,Datos!L12+Datos!AB12)-IF(Monitorios="SI",Datos!CD12,0)),
                          IF(J_V="SI",Datos!L12,Datos!L12+Datos!AB12)-IF(Monitorios="SI",Datos!CD12,0),
                          " - ")</f>
        <v xml:space="preserve"> - </v>
      </c>
      <c r="AB12" s="504"/>
      <c r="AC12" s="504"/>
      <c r="AD12" s="517"/>
      <c r="AE12" s="517">
        <f>IF(ISNUMBER(Datos!R12),Datos!R12," - ")</f>
        <v>1430</v>
      </c>
      <c r="AF12" s="620" t="str">
        <f>IF(ISNUMBER(Datos!BV12),Datos!BV12," - ")</f>
        <v xml:space="preserve"> - </v>
      </c>
      <c r="AG12" s="507" t="str">
        <f>IF(ISNUMBER(Datos!DV12),Datos!DV12," - ")</f>
        <v xml:space="preserve"> - </v>
      </c>
      <c r="AH12" s="508"/>
      <c r="AI12" s="509"/>
      <c r="AJ12" s="507">
        <f>IF(ISNUMBER(Datos!M12),Datos!M12," - ")</f>
        <v>83</v>
      </c>
      <c r="AK12" s="620">
        <f>IF(ISNUMBER(Datos!N12),Datos!N12," - ")</f>
        <v>205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5.6089887640449438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-3.2476319350473612E-2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5</v>
      </c>
      <c r="G14" s="1045">
        <f>SUBTOTAL(9,G8:G13)</f>
        <v>5</v>
      </c>
      <c r="H14" s="1055"/>
      <c r="I14" s="1045">
        <f t="shared" ref="I14:N14" si="1">SUBTOTAL(9,I8:I13)</f>
        <v>0</v>
      </c>
      <c r="J14" s="1014">
        <f t="shared" si="1"/>
        <v>0</v>
      </c>
      <c r="K14" s="1055">
        <f t="shared" si="1"/>
        <v>0</v>
      </c>
      <c r="L14" s="1055">
        <f t="shared" si="1"/>
        <v>0</v>
      </c>
      <c r="M14" s="1055">
        <f t="shared" si="1"/>
        <v>0</v>
      </c>
      <c r="N14" s="1055">
        <f t="shared" si="1"/>
        <v>61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109</v>
      </c>
      <c r="AA14" s="1047">
        <f t="shared" si="3"/>
        <v>5</v>
      </c>
      <c r="AB14" s="1047">
        <f t="shared" si="3"/>
        <v>0</v>
      </c>
      <c r="AC14" s="1047">
        <f t="shared" si="3"/>
        <v>0</v>
      </c>
      <c r="AD14" s="1047">
        <f t="shared" si="3"/>
        <v>0</v>
      </c>
      <c r="AE14" s="1047">
        <f t="shared" si="3"/>
        <v>1433</v>
      </c>
      <c r="AF14" s="1055">
        <f t="shared" si="3"/>
        <v>0</v>
      </c>
      <c r="AG14" s="1055">
        <f t="shared" si="3"/>
        <v>0</v>
      </c>
      <c r="AH14" s="1055">
        <f t="shared" si="3"/>
        <v>0</v>
      </c>
      <c r="AI14" s="1055">
        <f t="shared" si="3"/>
        <v>0</v>
      </c>
      <c r="AJ14" s="1055">
        <f t="shared" si="3"/>
        <v>84</v>
      </c>
      <c r="AK14" s="1055">
        <f t="shared" si="3"/>
        <v>205</v>
      </c>
      <c r="AL14" s="1055">
        <f t="shared" si="3"/>
        <v>0</v>
      </c>
      <c r="AM14" s="1055">
        <f t="shared" si="3"/>
        <v>0</v>
      </c>
      <c r="AN14" s="1055">
        <f t="shared" si="3"/>
        <v>0</v>
      </c>
      <c r="AO14" s="1051">
        <f>IF(ISNUMBER(((NºAsuntos!I14/NºAsuntos!G14)*11)/factor_trimestre),((NºAsuntos!I14/NºAsuntos!G14)*11)/factor_trimestre," - ")</f>
        <v>5.630044843049328</v>
      </c>
      <c r="AP14" s="1057" t="str">
        <f>IF(ISNUMBER(Datos!CI14/Datos!CJ14),Datos!CI14/Datos!CJ14," - ")</f>
        <v xml:space="preserve"> - </v>
      </c>
      <c r="AQ14" s="1075">
        <f t="shared" ref="AQ14:AV14" si="4">SUBTOTAL(9,AQ9:AQ13)</f>
        <v>0</v>
      </c>
      <c r="AR14" s="1075">
        <f t="shared" si="4"/>
        <v>-3.2476319350473612E-2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516</v>
      </c>
      <c r="G17" s="507">
        <f>IF(ISNUMBER(IF(D_I="SI",Datos!I17,Datos!I17+Datos!AC17)),IF(D_I="SI",Datos!I17,Datos!I17+Datos!AC17)," - ")</f>
        <v>516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375</v>
      </c>
      <c r="Z17" s="704">
        <f>IF(ISNUMBER(Datos!Q17),Datos!Q17," - ")</f>
        <v>16</v>
      </c>
      <c r="AA17" s="506">
        <f>IF(ISNUMBER(IF(D_I="SI",Datos!L17,Datos!L17+Datos!AF17)),IF(D_I="SI",Datos!L17,Datos!L17+Datos!AF17)," - ")</f>
        <v>549</v>
      </c>
      <c r="AB17" s="504"/>
      <c r="AC17" s="504"/>
      <c r="AD17" s="517"/>
      <c r="AE17" s="517">
        <f>IF(ISNUMBER(Datos!R17),Datos!R17," - ")</f>
        <v>52</v>
      </c>
      <c r="AF17" s="620" t="str">
        <f>IF(ISNUMBER(Datos!BV17),Datos!BV17," - ")</f>
        <v xml:space="preserve"> - </v>
      </c>
      <c r="AG17" s="507"/>
      <c r="AH17" s="508"/>
      <c r="AI17" s="509"/>
      <c r="AJ17" s="507">
        <f>IF(ISNUMBER(Datos!M17),Datos!M17," - ")</f>
        <v>51</v>
      </c>
      <c r="AK17" s="620">
        <f>IF(ISNUMBER(Datos!N17),Datos!N17," - ")</f>
        <v>210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4.3920000000000003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16</v>
      </c>
      <c r="Z18" s="704">
        <f>IF(ISNUMBER(Datos!Q18),Datos!Q18," - ")</f>
        <v>0</v>
      </c>
      <c r="AA18" s="506">
        <f>IF(ISNUMBER(Datos!L18),Datos!L18,"-")</f>
        <v>32</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3</v>
      </c>
      <c r="AK18" s="620">
        <f>IF(ISNUMBER(Datos!N18),Datos!N18," - ")</f>
        <v>12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516</v>
      </c>
      <c r="G20" s="1045">
        <f>SUBTOTAL(9,G16:G19)</f>
        <v>541</v>
      </c>
      <c r="H20" s="1079">
        <f>SUBTOTAL(9,H16:H19)</f>
        <v>0</v>
      </c>
      <c r="I20" s="1058">
        <f>SUBTOTAL(9,I16:I19)</f>
        <v>0</v>
      </c>
      <c r="J20" s="1014">
        <f>SUBTOTAL(9,J15:J19)</f>
        <v>0</v>
      </c>
      <c r="K20" s="1079">
        <f t="shared" ref="K20:S20" si="5">SUBTOTAL(9,K16:K19)</f>
        <v>0</v>
      </c>
      <c r="L20" s="1079">
        <f t="shared" si="5"/>
        <v>0</v>
      </c>
      <c r="M20" s="1079">
        <f t="shared" si="5"/>
        <v>0</v>
      </c>
      <c r="N20" s="1079">
        <f t="shared" si="5"/>
        <v>19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391</v>
      </c>
      <c r="Z20" s="1079">
        <f t="shared" si="6"/>
        <v>16</v>
      </c>
      <c r="AA20" s="1079">
        <f t="shared" si="6"/>
        <v>581</v>
      </c>
      <c r="AB20" s="1079">
        <f t="shared" si="6"/>
        <v>0</v>
      </c>
      <c r="AC20" s="1079">
        <f t="shared" si="6"/>
        <v>0</v>
      </c>
      <c r="AD20" s="1079">
        <f t="shared" si="6"/>
        <v>0</v>
      </c>
      <c r="AE20" s="1079">
        <f t="shared" si="6"/>
        <v>55</v>
      </c>
      <c r="AF20" s="1079">
        <f t="shared" si="6"/>
        <v>0</v>
      </c>
      <c r="AG20" s="1079">
        <f t="shared" si="6"/>
        <v>0</v>
      </c>
      <c r="AH20" s="1079">
        <f t="shared" si="6"/>
        <v>0</v>
      </c>
      <c r="AI20" s="1079">
        <f t="shared" si="6"/>
        <v>0</v>
      </c>
      <c r="AJ20" s="1079">
        <f t="shared" si="6"/>
        <v>54</v>
      </c>
      <c r="AK20" s="1079">
        <f t="shared" si="6"/>
        <v>222</v>
      </c>
      <c r="AL20" s="1079">
        <f t="shared" si="6"/>
        <v>0</v>
      </c>
      <c r="AM20" s="1079">
        <f t="shared" si="6"/>
        <v>0</v>
      </c>
      <c r="AN20" s="1079">
        <f t="shared" si="6"/>
        <v>0</v>
      </c>
      <c r="AO20" s="1081">
        <f>IF(ISNUMBER(((NºAsuntos!I20/NºAsuntos!G20)*11)/factor_trimestre),((NºAsuntos!I20/NºAsuntos!G20)*11)/factor_trimestre," - ")</f>
        <v>4.4578005115089514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521</v>
      </c>
      <c r="G21" s="967">
        <f t="shared" si="8"/>
        <v>546</v>
      </c>
      <c r="H21" s="968">
        <f t="shared" si="8"/>
        <v>0</v>
      </c>
      <c r="I21" s="967">
        <f t="shared" si="8"/>
        <v>0</v>
      </c>
      <c r="J21" s="969">
        <f t="shared" si="8"/>
        <v>0</v>
      </c>
      <c r="K21" s="967">
        <f t="shared" si="8"/>
        <v>0</v>
      </c>
      <c r="L21" s="970">
        <f t="shared" si="8"/>
        <v>0</v>
      </c>
      <c r="M21" s="967">
        <f t="shared" si="8"/>
        <v>0</v>
      </c>
      <c r="N21" s="968">
        <f t="shared" si="8"/>
        <v>80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392</v>
      </c>
      <c r="Z21" s="974">
        <f t="shared" si="9"/>
        <v>125</v>
      </c>
      <c r="AA21" s="975">
        <f t="shared" si="9"/>
        <v>586</v>
      </c>
      <c r="AB21" s="975">
        <f t="shared" si="9"/>
        <v>0</v>
      </c>
      <c r="AC21" s="975">
        <f t="shared" si="9"/>
        <v>0</v>
      </c>
      <c r="AD21" s="976">
        <f t="shared" si="9"/>
        <v>0</v>
      </c>
      <c r="AE21" s="976">
        <f t="shared" si="9"/>
        <v>1488</v>
      </c>
      <c r="AF21" s="977">
        <f t="shared" si="9"/>
        <v>0</v>
      </c>
      <c r="AG21" s="978">
        <f t="shared" si="9"/>
        <v>0</v>
      </c>
      <c r="AH21" s="979">
        <f t="shared" si="9"/>
        <v>0</v>
      </c>
      <c r="AI21" s="977">
        <f t="shared" si="9"/>
        <v>0</v>
      </c>
      <c r="AJ21" s="967">
        <f t="shared" si="9"/>
        <v>138</v>
      </c>
      <c r="AK21" s="967">
        <f t="shared" si="9"/>
        <v>427</v>
      </c>
      <c r="AL21" s="967">
        <f t="shared" si="9"/>
        <v>0</v>
      </c>
      <c r="AM21" s="980">
        <f t="shared" si="9"/>
        <v>0</v>
      </c>
      <c r="AN21" s="970">
        <f>IF(ISNUMBER(Datos!K21/Datos!J21),Datos!K21/Datos!J21," - ")</f>
        <v>0.88611713665943603</v>
      </c>
      <c r="AO21" s="970">
        <f>IF(ISNUMBER(FIND("06",Criterios!A8,1)),(IF(ISNUMBER(((Datos!R21/Datos!Q21)*11)/factor_trimestre),((Datos!R21/Datos!Q21)*11)/factor_trimestre," - ")),(IF(ISNUMBER(((Datos!L21/Datos!K21)*11)/factor_trimestre),((Datos!L21/Datos!K21)*11)/factor_trimestre," - ")))</f>
        <v>5.0305997552019583</v>
      </c>
      <c r="AP21" s="981" t="str">
        <f>IF(ISNUMBER(Datos!CI21/Datos!CJ21),Datos!CI21/Datos!CJ21," - ")</f>
        <v xml:space="preserve"> - </v>
      </c>
      <c r="AQ21" s="981">
        <f>IF(OR(ISNUMBER(FIND("01",Criterios!A8,1)),ISNUMBER(FIND("02",Criterios!A8,1)),ISNUMBER(FIND("03",Criterios!A8,1)),ISNUMBER(FIND("04",Criterios!A8,1))),(J21-Y21+K21)/(F21-K21),(I21-Y21+K21)/(F21-K21))</f>
        <v>-0.75239923224568139</v>
      </c>
      <c r="AR21" s="981">
        <f>IF(ISNUMBER((Datos!P21-Datos!Q21+O21)/(Datos!R21-Datos!P21+Datos!Q21-O21)),(Datos!P21-Datos!Q21+O21)/(Datos!R21-Datos!P21+Datos!Q21-O21)," - ")</f>
        <v>-2.9354207436399216E-2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218.4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295.02598755589878</v>
      </c>
      <c r="G23" s="601">
        <f>IF(ISNUMBER(STDEV(G8:G20)),STDEV(G8:G20),"-")</f>
        <v>283.33690193831092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36.813041167499321</v>
      </c>
      <c r="AK23" s="257"/>
      <c r="AL23" s="257">
        <f>IF(ISNUMBER(STDEV(AL8:AL20)),STDEV(AL8:AL20),"-")</f>
        <v>0</v>
      </c>
      <c r="AM23" s="259">
        <f>IF(ISNUMBER(STDEV(AM8:AM20)),STDEV(AM8:AM20),"-")</f>
        <v>0</v>
      </c>
      <c r="AN23" s="587">
        <f>IF(ISNUMBER(STDEV(AN8:AN20)),STDEV(AN8:AN20),"-")</f>
        <v>0</v>
      </c>
      <c r="AO23" s="588">
        <f>IF(ISNUMBER(STDEV(AO8:AO20)),STDEV(AO8:AO20),"-")</f>
        <v>4.0481541740894604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uqMHi5KUCf829+Z2EhHOEhiDYm5oOzvdWYDWsA4rzIjsUi0crqqEJQC3ZgJZmCs53+aOJTO/IMbQUa9c+CkQfg==" saltValue="HPTabgKQb1vDRrLm2Lvy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fNOixDDNwajv9pR7Xf5+z6TFskRhgEySgw4W5TarLoIJ663O+QG4aCaM9CCADNQhRcaD2tGcE3T6v7aZxocew==" saltValue="a6qGBlBw8euLTugcO+pr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m71k3ngMt2aAd7uQeEeo3ZcufzwTkpqxrfzjo6xHmCrM0fGCzYixH1Jblu/uO1uLqxZ19Lk2L7dvUfRv0OefA==" saltValue="tFB9ykPhGkcZeYLtmpCqv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SEVILLA  Resumenes por Partidos Judiciales  MARCHENA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0.18834080717488788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0.13317706192751119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FkPCUW53YS5VYyZSiH9TjxbDm7fwBJgwBIe6t3+zirpGqbUNXgGcEsjZobQcxX4JfJy+GOAggmp9zALoY06myg==" saltValue="/iXZ6aJEBXgBlpjFV4HQ2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1+i0lwPULHd+838UwrxhWcaNVpyx1FaQUK7Q59zJ+YTaPfcJjHL0K/zoZtCIfFKgNrggUvWql5+yUEeSK10smQ==" saltValue="dVDJNG0gzfPUCPMaHWgB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SEVILLA</v>
      </c>
      <c r="D3" s="400"/>
      <c r="E3" s="400"/>
      <c r="F3" s="400"/>
    </row>
    <row r="4" spans="1:14" ht="13.5" thickBot="1">
      <c r="A4" s="400"/>
      <c r="B4" s="403" t="str">
        <f>Criterios!A11 &amp;"  "&amp;Criterios!B11</f>
        <v>Resumenes por Partidos Judiciales  MARCHENA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5</v>
      </c>
      <c r="D10" s="416">
        <f>IF(ISNUMBER(C10/Datos!BH10),C10/Datos!BH10," - ")</f>
        <v>5</v>
      </c>
      <c r="E10" s="415">
        <f>IF(ISNUMBER(Datos!J10),Datos!J10," - ")</f>
        <v>1</v>
      </c>
      <c r="F10" s="416">
        <f>IF(ISNUMBER(E10/B10),E10/B10," - ")</f>
        <v>1</v>
      </c>
      <c r="G10" s="415">
        <f>IF(ISNUMBER(Datos!K10),Datos!K10," - ")</f>
        <v>1</v>
      </c>
      <c r="H10" s="416">
        <f>IF(ISNUMBER(G10/B10),G10/B10," - ")</f>
        <v>1</v>
      </c>
      <c r="I10" s="415">
        <f>IF(ISNUMBER(Datos!L10),Datos!L10," - ")</f>
        <v>5</v>
      </c>
      <c r="J10" s="416">
        <f>IF(ISNUMBER(I10/B10),I10/B10," - ")</f>
        <v>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764</v>
      </c>
      <c r="D12" s="416">
        <f>IF(ISNUMBER(C12/Datos!BH12),C12/Datos!BH12," - ")</f>
        <v>382</v>
      </c>
      <c r="E12" s="415">
        <f>IF(ISNUMBER(IF(J_V="SI",Datos!J12,Datos!J12+Datos!Z12)),IF(J_V="SI",Datos!J12,Datos!J12+Datos!Z12)," - ")</f>
        <v>513</v>
      </c>
      <c r="F12" s="416">
        <f>IF(ISNUMBER(E12/B12),E12/B12," - ")</f>
        <v>256.5</v>
      </c>
      <c r="G12" s="415">
        <f>IF(ISNUMBER(IF(J_V="SI",Datos!K12,Datos!K12+Datos!AA12)),IF(J_V="SI",Datos!K12,Datos!K12+Datos!AA12)," - ")</f>
        <v>445</v>
      </c>
      <c r="H12" s="416">
        <f>IF(ISNUMBER(G12/B12),G12/B12," - ")</f>
        <v>222.5</v>
      </c>
      <c r="I12" s="415">
        <f>IF(ISNUMBER(IF(J_V="SI",Datos!L12,Datos!L12+Datos!AB12)),IF(J_V="SI",Datos!L12,Datos!L12+Datos!AB12)," - ")</f>
        <v>832</v>
      </c>
      <c r="J12" s="416">
        <f>IF(ISNUMBER(I12/B12),I12/B12," - ")</f>
        <v>416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769</v>
      </c>
      <c r="D14" s="997" t="str">
        <f>IF(ISNUMBER(C14/Datos!BI14),C14/Datos!BI14," - ")</f>
        <v xml:space="preserve"> - </v>
      </c>
      <c r="E14" s="996">
        <f>SUBTOTAL(9,E8:E13)</f>
        <v>514</v>
      </c>
      <c r="F14" s="997">
        <f>IF(ISNUMBER(E14/B14),E14/B14," - ")</f>
        <v>257</v>
      </c>
      <c r="G14" s="996">
        <f>SUBTOTAL(9,G8:G13)</f>
        <v>446</v>
      </c>
      <c r="H14" s="997">
        <f>IF(ISNUMBER(G14/B14),G14/B14," - ")</f>
        <v>223</v>
      </c>
      <c r="I14" s="996">
        <f>SUBTOTAL(9,I8:I13)</f>
        <v>837</v>
      </c>
      <c r="J14" s="997">
        <f>IF(ISNUMBER(I14/B14),I14/B14," - ")</f>
        <v>418.5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516</v>
      </c>
      <c r="D17" s="416">
        <f>IF(ISNUMBER(C17/Datos!BH17),C17/Datos!BH17," - ")</f>
        <v>258</v>
      </c>
      <c r="E17" s="415">
        <f>IF(ISNUMBER(IF(D_I="SI",Datos!J17,Datos!J17+Datos!AD17)),IF(D_I="SI",Datos!J17,Datos!J17+Datos!AD17)," - ")</f>
        <v>408</v>
      </c>
      <c r="F17" s="416">
        <f>IF(ISNUMBER(E17/B17),E17/B17," - ")</f>
        <v>204</v>
      </c>
      <c r="G17" s="415">
        <f>IF(ISNUMBER(IF(D_I="SI",Datos!K17,Datos!K17+Datos!AE17)),IF(D_I="SI",Datos!K17,Datos!K17+Datos!AE17)," - ")</f>
        <v>375</v>
      </c>
      <c r="H17" s="416">
        <f>IF(ISNUMBER(G17/B17),G17/B17," - ")</f>
        <v>187.5</v>
      </c>
      <c r="I17" s="415">
        <f>IF(ISNUMBER(IF(D_I="SI",Datos!L17,Datos!L17+Datos!AF17)),IF(D_I="SI",Datos!L17,Datos!L17+Datos!AF17)," - ")</f>
        <v>549</v>
      </c>
      <c r="J17" s="416">
        <f>IF(ISNUMBER(I17/B17),I17/B17," - ")</f>
        <v>274.5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25</v>
      </c>
      <c r="D18" s="416">
        <f>IF(ISNUMBER(C18/Datos!BH18),C18/Datos!BH18," - ")</f>
        <v>25</v>
      </c>
      <c r="E18" s="415">
        <f>IF(ISNUMBER(IF(D_I="SI",Datos!J18,Datos!J18+Datos!AD18)),IF(D_I="SI",Datos!J18,Datos!J18+Datos!AD18)," - ")</f>
        <v>23</v>
      </c>
      <c r="F18" s="416">
        <f>IF(ISNUMBER(E18/B18),E18/B18," - ")</f>
        <v>23</v>
      </c>
      <c r="G18" s="415">
        <f>IF(ISNUMBER(IF(D_I="SI",Datos!K18,Datos!K18+Datos!AE18)),IF(D_I="SI",Datos!K18,Datos!K18+Datos!AE18)," - ")</f>
        <v>16</v>
      </c>
      <c r="H18" s="416">
        <f>IF(ISNUMBER(G18/B18),G18/B18," - ")</f>
        <v>16</v>
      </c>
      <c r="I18" s="415">
        <f>IF(ISNUMBER(IF(D_I="SI",Datos!L18,Datos!L18+Datos!AF18)),IF(D_I="SI",Datos!L18,Datos!L18+Datos!AF18)," - ")</f>
        <v>32</v>
      </c>
      <c r="J18" s="416">
        <f>IF(ISNUMBER(I18/B18),I18/B18," - ")</f>
        <v>32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541</v>
      </c>
      <c r="D20" s="997" t="str">
        <f>IF(ISNUMBER(C20/Datos!BI20),C20/Datos!BI20," - ")</f>
        <v xml:space="preserve"> - </v>
      </c>
      <c r="E20" s="996">
        <f>SUBTOTAL(9,E15:E19)</f>
        <v>431</v>
      </c>
      <c r="F20" s="997">
        <f>IF(ISNUMBER(E20/B20),E20/B20," - ")</f>
        <v>215.5</v>
      </c>
      <c r="G20" s="996">
        <f>SUBTOTAL(9,G15:G19)</f>
        <v>391</v>
      </c>
      <c r="H20" s="997">
        <f>IF(ISNUMBER(G20/B20),G20/B20," - ")</f>
        <v>195.5</v>
      </c>
      <c r="I20" s="996">
        <f>SUBTOTAL(9,I15:I19)</f>
        <v>581</v>
      </c>
      <c r="J20" s="997">
        <f>IF(ISNUMBER(I20/B20),I20/B20," - ")</f>
        <v>290.5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1310</v>
      </c>
      <c r="D21" s="942" t="str">
        <f>IF(ISNUMBER(C21/Datos!BI21),C21/Datos!BI21," - ")</f>
        <v xml:space="preserve"> - </v>
      </c>
      <c r="E21" s="941">
        <f>SUBTOTAL(9,E9:E20)</f>
        <v>945</v>
      </c>
      <c r="F21" s="942">
        <f>IF(ISNUMBER(E21/B21),E21/B21," - ")</f>
        <v>472.5</v>
      </c>
      <c r="G21" s="941">
        <f>SUBTOTAL(9,G9:G20)</f>
        <v>837</v>
      </c>
      <c r="H21" s="942">
        <f>IF(ISNUMBER(G21/B21),G21/B21," - ")</f>
        <v>418.5</v>
      </c>
      <c r="I21" s="941">
        <f>SUBTOTAL(9,I9:I20)</f>
        <v>1418</v>
      </c>
      <c r="J21" s="942">
        <f>IF(ISNUMBER(I21/B21),I21/B21," - ")</f>
        <v>709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cDF+Jp9nGH3WlFs94lXeo8O/FS9N80TSEnu7Cy1Hp9GtJzgMy3GSsVTk33H1ggEB3ZYaxRlm4+ukE6cuTcK/Sw==" saltValue="kLEe7XLGw3Z6lU0LTiuj9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SEVILLA  Resumenes por Partidos Judiciales  MARCHENA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5</v>
      </c>
      <c r="G10" s="803">
        <f>IF(ISNUMBER(Datos!I10),Datos!I10," - ")</f>
        <v>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61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109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1430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83</v>
      </c>
      <c r="AM12" s="811">
        <f>IF(ISNUMBER(Datos!N12+DatosP!N17),Datos!N12+DatosP!N17," - ")</f>
        <v>205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5.6089887640449438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-3.2476319350473612E-2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5</v>
      </c>
      <c r="G14" s="1085">
        <f t="shared" si="0"/>
        <v>5</v>
      </c>
      <c r="H14" s="1085">
        <f t="shared" si="0"/>
        <v>0</v>
      </c>
      <c r="I14" s="1087">
        <f t="shared" si="0"/>
        <v>0</v>
      </c>
      <c r="J14" s="1086">
        <f t="shared" si="0"/>
        <v>0</v>
      </c>
      <c r="K14" s="1086">
        <f t="shared" si="0"/>
        <v>0</v>
      </c>
      <c r="L14" s="1088">
        <f t="shared" si="0"/>
        <v>0</v>
      </c>
      <c r="M14" s="1088">
        <f t="shared" si="0"/>
        <v>0</v>
      </c>
      <c r="N14" s="1086">
        <f t="shared" si="0"/>
        <v>61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109</v>
      </c>
      <c r="AE14" s="1086">
        <f t="shared" si="1"/>
        <v>0</v>
      </c>
      <c r="AF14" s="1086">
        <f t="shared" si="1"/>
        <v>5</v>
      </c>
      <c r="AG14" s="1086">
        <f t="shared" si="1"/>
        <v>0</v>
      </c>
      <c r="AH14" s="1086">
        <f t="shared" si="1"/>
        <v>1430</v>
      </c>
      <c r="AI14" s="1086">
        <f t="shared" si="1"/>
        <v>0</v>
      </c>
      <c r="AJ14" s="1086">
        <f t="shared" si="1"/>
        <v>0</v>
      </c>
      <c r="AK14" s="1086">
        <f t="shared" si="1"/>
        <v>0</v>
      </c>
      <c r="AL14" s="1086">
        <f t="shared" si="1"/>
        <v>84</v>
      </c>
      <c r="AM14" s="1086">
        <f t="shared" si="1"/>
        <v>205</v>
      </c>
      <c r="AN14" s="1086">
        <f t="shared" si="1"/>
        <v>0</v>
      </c>
      <c r="AO14" s="1086">
        <f t="shared" si="1"/>
        <v>0</v>
      </c>
      <c r="AP14" s="1091">
        <f>IF(ISNUMBER(((Datos!L14/Datos!K14)*11)/factor_trimestre),((Datos!L14/Datos!K14)*11)/factor_trimestre," - ")</f>
        <v>5.5563380281690149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v>
      </c>
      <c r="AU14" s="1086" t="str">
        <f>IF(ISNUMBER((DatosP!#REF!-DatosP!#REF!+DatosP!#REF!)/(DatosP!#REF!+DatosP!#REF!-DatosP!#REF!-DatosP!#REF!)),(DatosP!#REF!-DatosP!#REF!+DatosP!#REF!)/(DatosP!#REF!+DatosP!#REF!-DatosP!#REF!-DatosP!#REF!)," - ")</f>
        <v xml:space="preserve"> - </v>
      </c>
      <c r="AV14" s="1092">
        <f>SUBTOTAL(9,AV9:AV13)</f>
        <v>-3.2476319350473612E-2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4.4578005115089514</v>
      </c>
      <c r="AQ20" s="1091">
        <f>IF(ISNUMBER(((Datos!M20/Datos!L20)*11)/factor_trimestre),((Datos!M20/Datos!L20)*11)/factor_trimestre," - ")</f>
        <v>0.27882960413080898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5.7692307692307696E-2</v>
      </c>
      <c r="AW20" s="1093">
        <f>IF(ISNUMBER((Datos!Q20-Datos!R20)/(Datos!S20-Datos!Q20+Datos!R20)),(Datos!Q20-Datos!R20)/(Datos!S20-Datos!Q20+Datos!R20)," - ")</f>
        <v>-6.7826086956521744E-2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5</v>
      </c>
      <c r="G21" s="1098">
        <f t="shared" si="4"/>
        <v>5</v>
      </c>
      <c r="H21" s="1098">
        <f t="shared" si="4"/>
        <v>0</v>
      </c>
      <c r="I21" s="1099">
        <f t="shared" si="4"/>
        <v>0</v>
      </c>
      <c r="J21" s="1100">
        <f t="shared" si="4"/>
        <v>0</v>
      </c>
      <c r="K21" s="1100">
        <f t="shared" si="4"/>
        <v>0</v>
      </c>
      <c r="L21" s="1100">
        <f t="shared" si="4"/>
        <v>0</v>
      </c>
      <c r="M21" s="1100">
        <f t="shared" si="4"/>
        <v>0</v>
      </c>
      <c r="N21" s="1099">
        <f t="shared" si="4"/>
        <v>61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109</v>
      </c>
      <c r="AE21" s="1104">
        <f t="shared" si="5"/>
        <v>0</v>
      </c>
      <c r="AF21" s="1105">
        <f t="shared" si="5"/>
        <v>5</v>
      </c>
      <c r="AG21" s="1105">
        <f t="shared" si="5"/>
        <v>0</v>
      </c>
      <c r="AH21" s="1105">
        <f t="shared" si="5"/>
        <v>1430</v>
      </c>
      <c r="AI21" s="1105">
        <f t="shared" si="5"/>
        <v>0</v>
      </c>
      <c r="AJ21" s="1106">
        <f t="shared" si="5"/>
        <v>0</v>
      </c>
      <c r="AK21" s="1106">
        <f t="shared" si="5"/>
        <v>0</v>
      </c>
      <c r="AL21" s="1098">
        <f t="shared" si="5"/>
        <v>84</v>
      </c>
      <c r="AM21" s="1098">
        <f t="shared" si="5"/>
        <v>205</v>
      </c>
      <c r="AN21" s="1098">
        <f t="shared" si="5"/>
        <v>0</v>
      </c>
      <c r="AO21" s="1098">
        <f t="shared" si="5"/>
        <v>0</v>
      </c>
      <c r="AP21" s="1098">
        <f>IF(ISNUMBER(((Datos!L21/Datos!K21)*11)/factor_trimestre),((Datos!L21/Datos!K21)*11)/factor_trimestre," - ")</f>
        <v>5.0305997552019583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-2.9354207436399216E-2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3.3333333333333335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2.8867513459481287</v>
      </c>
      <c r="G23" s="871">
        <f>IF(ISNUMBER(STDEV(G8:G20)),STDEV(G8:G20),"-")</f>
        <v>2.8867513459481287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47.923550230201712</v>
      </c>
      <c r="AM23" s="870"/>
      <c r="AN23" s="870">
        <f>IF(ISNUMBER(STDEV(AN8:AN20)),STDEV(AN8:AN20),"-")</f>
        <v>0</v>
      </c>
      <c r="AO23" s="876">
        <f>IF(ISNUMBER(STDEV(AO8:AO20)),STDEV(AO8:AO20),"-")</f>
        <v>0</v>
      </c>
      <c r="AP23" s="923">
        <f>IF(ISNUMBER(STDEV(AP8:AP20)),STDEV(AP8:AP20),"-")</f>
        <v>4.9248232176009497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wEh/v2/ufU4Rc9Ajpha0rRQk57gK93ZnLIszy1CvJbrHXRPgoAMTva9VMw8B3GdJPI8JuaU7jmYVYXWZJn3Ujw==" saltValue="jo4Xxy5GcvrDsO0rHQJW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SEVILLA</v>
      </c>
      <c r="C3" s="427"/>
      <c r="F3" s="400"/>
      <c r="G3" s="400"/>
      <c r="H3" s="400"/>
    </row>
    <row r="4" spans="1:15" ht="13.5" thickBot="1">
      <c r="A4" s="400"/>
      <c r="B4" s="403" t="str">
        <f>Criterios!A11 &amp;"  "&amp;Criterios!B11</f>
        <v>Resumenes por Partidos Judiciales  MARCHENA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SiP3D7t9kgPs3zxBNHa4J9LI9mTeMZtMBiHvUvz6kEqC2qf6uXcXbsKxsDv/tquwXwMCP1btSCZ6dmiflSiCzQ==" saltValue="Pnh3YWO2aI2z2Ss1O2gVn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SEVILLA</v>
      </c>
      <c r="C3" s="439"/>
      <c r="D3" s="440"/>
    </row>
    <row r="4" spans="1:9" ht="13.5" thickBot="1">
      <c r="B4" s="441" t="str">
        <f>Criterios!A11 &amp;"  "&amp;Criterios!B11</f>
        <v>Resumenes por Partidos Judiciales  MARCHENA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83</v>
      </c>
      <c r="E12" s="416">
        <f t="shared" si="0"/>
        <v>41.5</v>
      </c>
      <c r="F12" s="415">
        <f>IF(ISNUMBER(Datos!N12),Datos!N12," - ")</f>
        <v>205</v>
      </c>
      <c r="G12" s="416">
        <f t="shared" si="1"/>
        <v>102.5</v>
      </c>
      <c r="H12" s="415">
        <f>IF(ISNUMBER(Datos!O12),Datos!O12," - ")</f>
        <v>122</v>
      </c>
      <c r="I12" s="416">
        <f t="shared" si="2"/>
        <v>61</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84</v>
      </c>
      <c r="E14" s="997">
        <f t="shared" si="0"/>
        <v>28</v>
      </c>
      <c r="F14" s="996">
        <f>SUBTOTAL(9,F9:F13)</f>
        <v>205</v>
      </c>
      <c r="G14" s="997">
        <f t="shared" si="1"/>
        <v>68.333333333333329</v>
      </c>
      <c r="H14" s="996">
        <f>SUBTOTAL(9,H9:H13)</f>
        <v>122</v>
      </c>
      <c r="I14" s="997">
        <f>IF(ISNUMBER(H14/B14),H14/B14," - ")</f>
        <v>40.666666666666664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51</v>
      </c>
      <c r="E17" s="416">
        <f t="shared" si="3"/>
        <v>25.5</v>
      </c>
      <c r="F17" s="415">
        <f>IF(ISNUMBER(Datos!N17),Datos!N17," - ")</f>
        <v>210</v>
      </c>
      <c r="G17" s="416">
        <f t="shared" si="4"/>
        <v>105</v>
      </c>
      <c r="H17" s="415">
        <f>IF(ISNUMBER(Datos!O17),Datos!O17," - ")</f>
        <v>0</v>
      </c>
      <c r="I17" s="416">
        <f t="shared" si="5"/>
        <v>0</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12</v>
      </c>
      <c r="G18" s="416">
        <f>IF(ISNUMBER(F18/B18),F18/B18," - ")</f>
        <v>12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54</v>
      </c>
      <c r="E20" s="997">
        <f t="shared" si="3"/>
        <v>18</v>
      </c>
      <c r="F20" s="996">
        <f>SUBTOTAL(9,F16:F19)</f>
        <v>222</v>
      </c>
      <c r="G20" s="997">
        <f t="shared" si="4"/>
        <v>74</v>
      </c>
      <c r="H20" s="996">
        <f>SUBTOTAL(9,H16:H19)</f>
        <v>0</v>
      </c>
      <c r="I20" s="997">
        <f>IF(ISNUMBER(H20/B20),H20/B20," - ")</f>
        <v>0</v>
      </c>
    </row>
    <row r="21" spans="1:9" ht="14.25" thickTop="1" thickBot="1">
      <c r="A21" s="940" t="str">
        <f>Datos!A21</f>
        <v>TOTAL JURISDICCIONES</v>
      </c>
      <c r="B21" s="941">
        <f>Datos!AP21</f>
        <v>2</v>
      </c>
      <c r="C21" s="941">
        <f>Datos!AR21</f>
        <v>2</v>
      </c>
      <c r="D21" s="941">
        <f>SUBTOTAL(9,D8:D20)</f>
        <v>138</v>
      </c>
      <c r="E21" s="942">
        <f>IF(ISNUMBER(D21/B21),D21/B21," - ")</f>
        <v>69</v>
      </c>
      <c r="F21" s="941">
        <f>SUBTOTAL(9,F8:F20)</f>
        <v>427</v>
      </c>
      <c r="G21" s="942">
        <f>IF(ISNUMBER(F21/B21),F21/B21," - ")</f>
        <v>213.5</v>
      </c>
      <c r="H21" s="941">
        <f>SUBTOTAL(9,H8:H20)</f>
        <v>122</v>
      </c>
      <c r="I21" s="942">
        <f>IF(ISNUMBER(H21/B21),H21/B21," - ")</f>
        <v>61</v>
      </c>
    </row>
    <row r="24" spans="1:9">
      <c r="A24" s="403" t="str">
        <f>Criterios!A4</f>
        <v>Fecha Informe: 06 jun. 2023</v>
      </c>
    </row>
    <row r="29" spans="1:9">
      <c r="A29" s="426"/>
    </row>
  </sheetData>
  <sheetProtection algorithmName="SHA-512" hashValue="ihPHRHGpaoLQYPRTsYQNDyf8ATu8quEsmd3JaJ2Ojzyq2mWuVYVwH5qUXrohZ0PwuNV0CTpWi3zTXusWQXRMoQ==" saltValue="wQQ57qxgreIGn4uW2fkI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SEVILLA</v>
      </c>
    </row>
    <row r="4" spans="1:4" ht="13.5" thickBot="1">
      <c r="B4" s="403" t="str">
        <f>Criterios!A11 &amp;"  "&amp;Criterios!B11</f>
        <v>Resumenes por Partidos Judiciales  MARCHENA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61</v>
      </c>
      <c r="C12" s="451">
        <f>IF(ISNUMBER(Datos!Q12),Datos!Q12," - ")</f>
        <v>109</v>
      </c>
      <c r="D12" s="420">
        <f>IF(ISNUMBER(Datos!R12),Datos!R12," - ")</f>
        <v>1430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61</v>
      </c>
      <c r="C14" s="1000">
        <f>SUBTOTAL(9,C9:C13)</f>
        <v>109</v>
      </c>
      <c r="D14" s="998">
        <f>SUBTOTAL(9,D9:D13)</f>
        <v>1433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19</v>
      </c>
      <c r="C17" s="451">
        <f>IF(ISNUMBER(Datos!Q17),Datos!Q17," - ")</f>
        <v>16</v>
      </c>
      <c r="D17" s="420">
        <f>IF(ISNUMBER(Datos!R17),Datos!R17," - ")</f>
        <v>52</v>
      </c>
    </row>
    <row r="18" spans="1:4">
      <c r="A18" s="414" t="str">
        <f>Datos!A18</f>
        <v>Jdos. Violencia contra la mujer</v>
      </c>
      <c r="B18" s="450">
        <f>IF(ISNUMBER(Datos!P18),Datos!P18," - ")</f>
        <v>0</v>
      </c>
      <c r="C18" s="451">
        <f>IF(ISNUMBER(Datos!Q18),Datos!Q18," - ")</f>
        <v>0</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19</v>
      </c>
      <c r="C20" s="1000">
        <f>SUBTOTAL(9,C16:C19)</f>
        <v>16</v>
      </c>
      <c r="D20" s="998">
        <f>SUBTOTAL(9,D16:D19)</f>
        <v>55</v>
      </c>
    </row>
    <row r="21" spans="1:4" ht="16.5" customHeight="1" thickTop="1" thickBot="1">
      <c r="A21" s="940" t="str">
        <f>Datos!A21</f>
        <v>TOTAL JURISDICCIONES</v>
      </c>
      <c r="B21" s="945">
        <f>SUBTOTAL(9,B8:B20)</f>
        <v>80</v>
      </c>
      <c r="C21" s="946">
        <f>SUBTOTAL(9,C8:C20)</f>
        <v>125</v>
      </c>
      <c r="D21" s="947">
        <f>SUBTOTAL(9,D8:D20)</f>
        <v>1488</v>
      </c>
    </row>
    <row r="22" spans="1:4" ht="7.5" customHeight="1"/>
    <row r="23" spans="1:4" ht="6" customHeight="1"/>
    <row r="24" spans="1:4">
      <c r="A24" s="403" t="str">
        <f>Criterios!A4</f>
        <v>Fecha Informe: 06 jun. 2023</v>
      </c>
    </row>
    <row r="29" spans="1:4">
      <c r="A29" s="426"/>
    </row>
  </sheetData>
  <sheetProtection algorithmName="SHA-512" hashValue="3SJ9RG86MpxuGM5YrnnozgTLwSN3dbpqDEhB3YnMs6Ankpb3VgFF9lPfrBO8wH+Ufdr5zVueqJYsY7lw4yPFQQ==" saltValue="NcD9R349fG+NRjnhrr8O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SEVILLA</v>
      </c>
    </row>
    <row r="4" spans="1:11" ht="10.5" customHeight="1" thickBot="1">
      <c r="B4" s="403" t="str">
        <f>Criterios!A11 &amp;"  "&amp;Criterios!B11</f>
        <v>Resumenes por Partidos Judiciales  MARCHENA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-0.16666666666666666</v>
      </c>
      <c r="C10" s="473">
        <f>IF(ISNUMBER((Datos!J10-Datos!T10)/Datos!T10),(Datos!J10-Datos!T10)/Datos!T10," - ")</f>
        <v>0</v>
      </c>
      <c r="D10" s="473">
        <f>IF(ISNUMBER((Datos!K10-Datos!U10)/Datos!U10),(Datos!K10-Datos!U10)/Datos!U10," - ")</f>
        <v>-0.66666666666666663</v>
      </c>
      <c r="E10" s="473">
        <f>IF(ISNUMBER((Datos!L10-Datos!V10)/Datos!V10),(Datos!L10-Datos!V10)/Datos!V10," - ")</f>
        <v>0.25</v>
      </c>
      <c r="F10" s="473">
        <f>IF(ISNUMBER((Datos!M10-Datos!W10)/Datos!W10),(Datos!M10-Datos!W10)/Datos!W10," - ")</f>
        <v>0</v>
      </c>
      <c r="G10" s="474">
        <f>IF(ISNUMBER((Datos!N10-Datos!X10)/Datos!X10),(Datos!N10-Datos!X10)/Datos!X10," - ")</f>
        <v>-1</v>
      </c>
      <c r="H10" s="472">
        <f>IF(ISNUMBER(((NºAsuntos!G10/NºAsuntos!E10)-Datos!BD10)/Datos!BD10),((NºAsuntos!G10/NºAsuntos!E10)-Datos!BD10)/Datos!BD10," - ")</f>
        <v>-0.66666666666666663</v>
      </c>
      <c r="I10" s="473">
        <f>IF(ISNUMBER(((NºAsuntos!I10/NºAsuntos!G10)-Datos!BE10)/Datos!BE10),((NºAsuntos!I10/NºAsuntos!G10)-Datos!BE10)/Datos!BE10," - ")</f>
        <v>2.7500000000000004</v>
      </c>
      <c r="J10" s="478">
        <f>IF(ISNUMBER((('Resol  Asuntos'!D10/NºAsuntos!G10)-Datos!BF10)/Datos!BF10),(('Resol  Asuntos'!D10/NºAsuntos!G10)-Datos!BF10)/Datos!BF10," - ")</f>
        <v>2.0000000000000004</v>
      </c>
      <c r="K10" s="479">
        <f>IF(ISNUMBER((((NºAsuntos!C10+NºAsuntos!E10)/NºAsuntos!G10)-Datos!BG10)/Datos!BG10),(((NºAsuntos!C10+NºAsuntos!E10)/NºAsuntos!G10)-Datos!BG10)/Datos!BG10," - ")</f>
        <v>1.5714285714285712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0.3263888888888889</v>
      </c>
      <c r="C12" s="473">
        <f>IF(ISNUMBER(
   IF(J_V="SI",(Datos!J12-Datos!T12)/Datos!T12,(Datos!J12+Datos!Z12-(Datos!T12+Datos!AH12))/(Datos!T12+Datos!AH12))
     ),IF(J_V="SI",(Datos!J12-Datos!T12)/Datos!T12,(Datos!J12+Datos!Z12-(Datos!T12+Datos!AH12))/(Datos!T12+Datos!AH12))," - ")</f>
        <v>0.99610894941634243</v>
      </c>
      <c r="D12" s="473">
        <f>IF(ISNUMBER(
   IF(J_V="SI",(Datos!K12-Datos!U12)/Datos!U12,(Datos!K12+Datos!AA12-(Datos!U12+Datos!AI12))/(Datos!U12+Datos!AI12))
     ),IF(J_V="SI",(Datos!K12-Datos!U12)/Datos!U12,(Datos!K12+Datos!AA12-(Datos!U12+Datos!AI12))/(Datos!U12+Datos!AI12))," - ")</f>
        <v>0.55594405594405594</v>
      </c>
      <c r="E12" s="473">
        <f>IF(ISNUMBER(
   IF(J_V="SI",(Datos!L12-Datos!V12)/Datos!V12,(Datos!L12+Datos!AB12-(Datos!V12+Datos!AJ12))/(Datos!V12+Datos!AJ12))
     ),IF(J_V="SI",(Datos!L12-Datos!V12)/Datos!V12,(Datos!L12+Datos!AB12-(Datos!V12+Datos!AJ12))/(Datos!V12+Datos!AJ12))," - ")</f>
        <v>0.37293729372937295</v>
      </c>
      <c r="F12" s="473">
        <f>IF(ISNUMBER((Datos!M12-Datos!W12)/Datos!W12),(Datos!M12-Datos!W12)/Datos!W12," - ")</f>
        <v>9.2105263157894732E-2</v>
      </c>
      <c r="G12" s="474">
        <f>IF(ISNUMBER((Datos!N12-Datos!X12)/Datos!X12),(Datos!N12-Datos!X12)/Datos!X12," - ")</f>
        <v>3.1</v>
      </c>
      <c r="H12" s="472">
        <f>IF(ISNUMBER(((NºAsuntos!G12/NºAsuntos!E12)-Datos!BD12)/Datos!BD12),((NºAsuntos!G12/NºAsuntos!E12)-Datos!BD12)/Datos!BD12," - ")</f>
        <v>-0.22051145735356265</v>
      </c>
      <c r="I12" s="473">
        <f>IF(ISNUMBER(((NºAsuntos!I12/NºAsuntos!G12)-Datos!BE12)/Datos!BE12),((NºAsuntos!I12/NºAsuntos!G12)-Datos!BE12)/Datos!BE12," - ")</f>
        <v>-0.1176178291986501</v>
      </c>
      <c r="J12" s="478">
        <f>IF(ISNUMBER((('Resol  Asuntos'!D12/NºAsuntos!G12)-Datos!BF12)/Datos!BF12),(('Resol  Asuntos'!D12/NºAsuntos!G12)-Datos!BF12)/Datos!BF12," - ")</f>
        <v>6.6876404494382077E-2</v>
      </c>
      <c r="K12" s="479">
        <f>IF(ISNUMBER((((NºAsuntos!C12+NºAsuntos!E12)/NºAsuntos!G12)-Datos!BG12)/Datos!BG12),(((NºAsuntos!C12+NºAsuntos!E12)/NºAsuntos!G12)-Datos!BG12)/Datos!BG12," - ")</f>
        <v>-1.4737580425428614E-2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0.32130584192439865</v>
      </c>
      <c r="C14" s="1002">
        <f>IF(ISNUMBER(
   IF(J_V="SI",(Datos!J14-Datos!T14)/Datos!T14,(Datos!J14+Datos!Z14-(Datos!T14+Datos!AH14))/(Datos!T14+Datos!AH14))
     ),IF(J_V="SI",(Datos!J14-Datos!T14)/Datos!T14,(Datos!J14+Datos!Z14-(Datos!T14+Datos!AH14))/(Datos!T14+Datos!AH14))," - ")</f>
        <v>0.99224806201550386</v>
      </c>
      <c r="D14" s="1002">
        <f>IF(ISNUMBER(
   IF(J_V="SI",(Datos!K14-Datos!U14)/Datos!U14,(Datos!K14+Datos!AA14-(Datos!U14+Datos!AI14))/(Datos!U14+Datos!AI14))
     ),IF(J_V="SI",(Datos!K14-Datos!U14)/Datos!U14,(Datos!K14+Datos!AA14-(Datos!U14+Datos!AI14))/(Datos!U14+Datos!AI14))," - ")</f>
        <v>0.54325259515570934</v>
      </c>
      <c r="E14" s="1002">
        <f>IF(ISNUMBER(
   IF(J_V="SI",(Datos!L14-Datos!V14)/Datos!V14,(Datos!L14+Datos!AB14-(Datos!V14+Datos!AJ14))/(Datos!V14+Datos!AJ14))
     ),IF(J_V="SI",(Datos!L14-Datos!V14)/Datos!V14,(Datos!L14+Datos!AB14-(Datos!V14+Datos!AJ14))/(Datos!V14+Datos!AJ14))," - ")</f>
        <v>0.37213114754098359</v>
      </c>
      <c r="F14" s="1003">
        <f>IF(ISNUMBER((Datos!M14-Datos!W14)/Datos!W14),(Datos!M14-Datos!W14)/Datos!W14," - ")</f>
        <v>9.0909090909090912E-2</v>
      </c>
      <c r="G14" s="1004">
        <f>IF(ISNUMBER((Datos!N14-Datos!X14)/Datos!X14),(Datos!N14-Datos!X14)/Datos!X14," - ")</f>
        <v>2.9423076923076925</v>
      </c>
      <c r="H14" s="1004">
        <f>IF(ISNUMBER(((NºAsuntos!G14/NºAsuntos!E14)-Datos!BD14)/Datos!BD14),((NºAsuntos!G14/NºAsuntos!E14)-Datos!BD14)/Datos!BD14," - ")</f>
        <v>-0.22537126546658945</v>
      </c>
      <c r="I14" s="1004">
        <f>IF(ISNUMBER(((NºAsuntos!I14/NºAsuntos!G14)-Datos!BE14)/Datos!BE14),((NºAsuntos!I14/NºAsuntos!G14)-Datos!BE14)/Datos!BE14," - ")</f>
        <v>-0.11088362861133572</v>
      </c>
      <c r="J14" s="1004">
        <f>IF(ISNUMBER((('Resol  Asuntos'!D14/NºAsuntos!G14)-Datos!BF14)/Datos!BF14),(('Resol  Asuntos'!D14/NºAsuntos!G14)-Datos!BF14)/Datos!BF14," - ")</f>
        <v>6.7264573991031251E-2</v>
      </c>
      <c r="K14" s="1004">
        <f>IF(ISNUMBER((((NºAsuntos!C14+NºAsuntos!E14)/NºAsuntos!G14)-Datos!BG14)/Datos!BG14),(((NºAsuntos!C14+NºAsuntos!E14)/NºAsuntos!G14)-Datos!BG14)/Datos!BG14," - ")</f>
        <v>-1.0284539824898542E-2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-1.1494252873563218E-2</v>
      </c>
      <c r="C17" s="473">
        <f>IF(ISNUMBER(
   IF(D_I="SI",(Datos!J17-Datos!T17)/Datos!T17,(Datos!J17+Datos!AD17-(Datos!T17+Datos!AL17))/(Datos!T17+Datos!AL17))
     ),IF(D_I="SI",(Datos!J17-Datos!T17)/Datos!T17,(Datos!J17+Datos!AD17-(Datos!T17+Datos!AL17))/(Datos!T17+Datos!AL17))," - ")</f>
        <v>-1.6867469879518072E-2</v>
      </c>
      <c r="D17" s="473">
        <f>IF(ISNUMBER(
   IF(D_I="SI",(Datos!K17-Datos!U17)/Datos!U17,(Datos!K17+Datos!AE17-(Datos!U17+Datos!AM17))/(Datos!U17+Datos!AM17))
     ),IF(D_I="SI",(Datos!K17-Datos!U17)/Datos!U17,(Datos!K17+Datos!AE17-(Datos!U17+Datos!AM17))/(Datos!U17+Datos!AM17))," - ")</f>
        <v>0.16459627329192547</v>
      </c>
      <c r="E17" s="473">
        <f>IF(ISNUMBER(
   IF(D_I="SI",(Datos!L17-Datos!V17)/Datos!V17,(Datos!L17+Datos!AF17-(Datos!V17+Datos!AN17))/(Datos!V17+Datos!AN17))
     ),IF(D_I="SI",(Datos!L17-Datos!V17)/Datos!V17,(Datos!L17+Datos!AF17-(Datos!V17+Datos!AN17))/(Datos!V17+Datos!AN17))," - ")</f>
        <v>0.13195876288659794</v>
      </c>
      <c r="F17" s="473">
        <f>IF(ISNUMBER((Datos!M17-Datos!W17)/Datos!W17),(Datos!M17-Datos!W17)/Datos!W17," - ")</f>
        <v>0.10869565217391304</v>
      </c>
      <c r="G17" s="474">
        <f>IF(ISNUMBER((Datos!N17-Datos!X17)/Datos!X17),(Datos!N17-Datos!X17)/Datos!X17," - ")</f>
        <v>0.28048780487804881</v>
      </c>
      <c r="H17" s="472">
        <f>IF(ISNUMBER(((NºAsuntos!G17/NºAsuntos!E17)-Datos!BD17)/Datos!BD17),((NºAsuntos!G17/NºAsuntos!E17)-Datos!BD17)/Datos!BD17," - ")</f>
        <v>0.1845770917062477</v>
      </c>
      <c r="I17" s="473">
        <f>IF(ISNUMBER(((NºAsuntos!I17/NºAsuntos!G17)-Datos!BE17)/Datos!BE17),((NºAsuntos!I17/NºAsuntos!G17)-Datos!BE17)/Datos!BE17," - ")</f>
        <v>-2.8024742268041195E-2</v>
      </c>
      <c r="J17" s="478">
        <f>IF(ISNUMBER((('Resol  Asuntos'!D17/NºAsuntos!G17)-Datos!BF17)/Datos!BF17),(('Resol  Asuntos'!D17/NºAsuntos!G17)-Datos!BF17)/Datos!BF17," - ")</f>
        <v>-4.7999999999999876E-2</v>
      </c>
      <c r="K17" s="479">
        <f>IF(ISNUMBER((((NºAsuntos!C17+NºAsuntos!E17)/NºAsuntos!G17)-Datos!BG17)/Datos!BG17),(((NºAsuntos!C17+NºAsuntos!E17)/NºAsuntos!G17)-Datos!BG17)/Datos!BG17," - ")</f>
        <v>-0.15324653148345788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0.7857142857142857</v>
      </c>
      <c r="C18" s="473">
        <f>IF(ISNUMBER(
   IF(D_I="SI",(Datos!J18-Datos!T18)/Datos!T18,(Datos!J18+Datos!AD18-(Datos!T18+Datos!AL18))/(Datos!T18+Datos!AL18))
     ),IF(D_I="SI",(Datos!J18-Datos!T18)/Datos!T18,(Datos!J18+Datos!AD18-(Datos!T18+Datos!AL18))/(Datos!T18+Datos!AL18))," - ")</f>
        <v>0.21052631578947367</v>
      </c>
      <c r="D18" s="473">
        <f>IF(ISNUMBER(
   IF(D_I="SI",(Datos!K18-Datos!U18)/Datos!U18,(Datos!K18+Datos!AE18-(Datos!U18+Datos!AM18))/(Datos!U18+Datos!AM18))
     ),IF(D_I="SI",(Datos!K18-Datos!U18)/Datos!U18,(Datos!K18+Datos!AE18-(Datos!U18+Datos!AM18))/(Datos!U18+Datos!AM18))," - ")</f>
        <v>0</v>
      </c>
      <c r="E18" s="473">
        <f>IF(ISNUMBER(
   IF(D_I="SI",(Datos!L18-Datos!V18)/Datos!V18,(Datos!L18+Datos!AF18-(Datos!V18+Datos!AN18))/(Datos!V18+Datos!AN18))
     ),IF(D_I="SI",(Datos!L18-Datos!V18)/Datos!V18,(Datos!L18+Datos!AF18-(Datos!V18+Datos!AN18))/(Datos!V18+Datos!AN18))," - ")</f>
        <v>0.6</v>
      </c>
      <c r="F18" s="473">
        <f>IF(ISNUMBER((Datos!M18-Datos!W18)/Datos!W18),(Datos!M18-Datos!W18)/Datos!W18," - ")</f>
        <v>-0.25</v>
      </c>
      <c r="G18" s="474">
        <f>IF(ISNUMBER((Datos!N18-Datos!X18)/Datos!X18),(Datos!N18-Datos!X18)/Datos!X18," - ")</f>
        <v>0.2</v>
      </c>
      <c r="H18" s="472">
        <f>IF(ISNUMBER(((NºAsuntos!G18/NºAsuntos!E18)-Datos!BD18)/Datos!BD18),((NºAsuntos!G18/NºAsuntos!E18)-Datos!BD18)/Datos!BD18," - ")</f>
        <v>-0.17391304347826084</v>
      </c>
      <c r="I18" s="473">
        <f>IF(ISNUMBER(((NºAsuntos!I18/NºAsuntos!G18)-Datos!BE18)/Datos!BE18),((NºAsuntos!I18/NºAsuntos!G18)-Datos!BE18)/Datos!BE18," - ")</f>
        <v>0.6</v>
      </c>
      <c r="J18" s="478">
        <f>IF(ISNUMBER((('Resol  Asuntos'!D18/NºAsuntos!G18)-Datos!BF18)/Datos!BF18),(('Resol  Asuntos'!D18/NºAsuntos!G18)-Datos!BF18)/Datos!BF18," - ")</f>
        <v>-0.25</v>
      </c>
      <c r="K18" s="479">
        <f>IF(ISNUMBER((((NºAsuntos!C18+NºAsuntos!E18)/NºAsuntos!G18)-Datos!BG18)/Datos!BG18),(((NºAsuntos!C18+NºAsuntos!E18)/NºAsuntos!G18)-Datos!BG18)/Datos!BG18," - ")</f>
        <v>0.45454545454545453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9.3283582089552231E-3</v>
      </c>
      <c r="C20" s="1002">
        <f>IF(ISNUMBER(
   IF(Criterios!B14="SI",(Datos!J20-Datos!T20)/Datos!T20,(Datos!J20+Datos!AD20-(Datos!T20+Datos!AL20))/(Datos!T20+Datos!AL20))
     ),IF(Criterios!B14="SI",(Datos!J20-Datos!T20)/Datos!T20,(Datos!J20+Datos!AD20-(Datos!T20+Datos!AL20))/(Datos!T20+Datos!AL20))," - ")</f>
        <v>-6.9124423963133645E-3</v>
      </c>
      <c r="D20" s="1002">
        <f>IF(ISNUMBER(
   IF(Criterios!B14="SI",(Datos!K20-Datos!U20)/Datos!U20,(Datos!K20+Datos!AE20-(Datos!U20+Datos!AM20))/(Datos!U20+Datos!AM20))
     ),IF(Criterios!B14="SI",(Datos!K20-Datos!U20)/Datos!U20,(Datos!K20+Datos!AE20-(Datos!U20+Datos!AM20))/(Datos!U20+Datos!AM20))," - ")</f>
        <v>0.15680473372781065</v>
      </c>
      <c r="E20" s="1002">
        <f>IF(ISNUMBER(
   IF(Criterios!B14="SI",(Datos!L20-Datos!V20)/Datos!V20,(Datos!L20+Datos!AF20-(Datos!V20+Datos!AN20))/(Datos!V20+Datos!AN20))
     ),IF(Criterios!B14="SI",(Datos!L20-Datos!V20)/Datos!V20,(Datos!L20+Datos!AF20-(Datos!V20+Datos!AN20))/(Datos!V20+Datos!AN20))," - ")</f>
        <v>0.15049504950495049</v>
      </c>
      <c r="F20" s="1003">
        <f>IF(ISNUMBER((Datos!M20-Datos!W20)/Datos!W20),(Datos!M20-Datos!W20)/Datos!W20," - ")</f>
        <v>0.08</v>
      </c>
      <c r="G20" s="1004">
        <f>IF(ISNUMBER((Datos!N20-Datos!X20)/Datos!X20),(Datos!N20-Datos!X20)/Datos!X20," - ")</f>
        <v>0.27586206896551724</v>
      </c>
      <c r="H20" s="1004">
        <f>IF(ISNUMBER(((NºAsuntos!G20/NºAsuntos!E20)-Datos!BD20)/Datos!BD20),((NºAsuntos!G20/NºAsuntos!E20)-Datos!BD20)/Datos!BD20," - ")</f>
        <v>0.16485673883496485</v>
      </c>
      <c r="I20" s="1004">
        <f>IF(ISNUMBER(((NºAsuntos!I20/NºAsuntos!G20)-Datos!BE20)/Datos!BE20),((NºAsuntos!I20/NºAsuntos!G20)-Datos!BE20)/Datos!BE20," - ")</f>
        <v>-5.4544073333164826E-3</v>
      </c>
      <c r="J20" s="1004">
        <f>IF(ISNUMBER((('Resol  Asuntos'!D20/NºAsuntos!G20)-Datos!BF20)/Datos!BF20),(('Resol  Asuntos'!D20/NºAsuntos!G20)-Datos!BF20)/Datos!BF20," - ")</f>
        <v>-6.6393861892583228E-2</v>
      </c>
      <c r="K20" s="1004">
        <f>IF(ISNUMBER((((NºAsuntos!C20+NºAsuntos!E20)/NºAsuntos!G20)-Datos!BG20)/Datos!BG20),(((NºAsuntos!C20+NºAsuntos!E20)/NºAsuntos!G20)-Datos!BG20)/Datos!BG20," - ")</f>
        <v>-0.13376750072507701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0.17173524150268335</v>
      </c>
      <c r="C21" s="949">
        <f>IF(ISNUMBER(
   IF(J_V="SI",(Datos!J21-Datos!T21)/Datos!T21,(Datos!J21+Datos!Z21-(Datos!T21+Datos!AH21))/(Datos!T21+Datos!AH21))
     ),IF(J_V="SI",(Datos!J21-Datos!T21)/Datos!T21,(Datos!J21+Datos!Z21-(Datos!T21+Datos!AH21))/(Datos!T21+Datos!AH21))," - ")</f>
        <v>0.36560693641618497</v>
      </c>
      <c r="D21" s="949">
        <f>IF(ISNUMBER(
   IF(J_V="SI",(Datos!K21-Datos!U21)/Datos!U21,(Datos!K21+Datos!AA21-(Datos!U21+Datos!AI21))/(Datos!U21+Datos!AI21))
     ),IF(J_V="SI",(Datos!K21-Datos!U21)/Datos!U21,(Datos!K21+Datos!AA21-(Datos!U21+Datos!AI21))/(Datos!U21+Datos!AI21))," - ")</f>
        <v>0.3349282296650718</v>
      </c>
      <c r="E21" s="949">
        <f>IF(ISNUMBER(
   IF(J_V="SI",(Datos!L21-Datos!V21)/Datos!V21,(Datos!L21+Datos!AB21-(Datos!V21+Datos!AJ21))/(Datos!V21+Datos!AJ21))
     ),IF(J_V="SI",(Datos!L21-Datos!V21)/Datos!V21,(Datos!L21+Datos!AB21-(Datos!V21+Datos!AJ21))/(Datos!V21+Datos!AJ21))," - ")</f>
        <v>0.27174887892376681</v>
      </c>
      <c r="F21" s="950">
        <f>IF(ISNUMBER((Datos!M21-Datos!W21)/Datos!W21),(Datos!M21-Datos!W21)/Datos!W21," - ")</f>
        <v>8.6614173228346455E-2</v>
      </c>
      <c r="G21" s="951">
        <f>IF(ISNUMBER((Datos!N21-Datos!X21)/Datos!X21),(Datos!N21-Datos!X21)/Datos!X21," - ")</f>
        <v>0.88938053097345138</v>
      </c>
      <c r="H21" s="952">
        <f>IF(ISNUMBER((Tasas!B21-Datos!BD21)/Datos!BD21),(Tasas!B21-Datos!BD21)/Datos!BD21," - ")</f>
        <v>-2.2465254044201431E-2</v>
      </c>
      <c r="I21" s="953">
        <f>IF(ISNUMBER((Tasas!C21-Datos!BE21)/Datos!BE21),(Tasas!C21-Datos!BE21)/Datos!BE21," - ")</f>
        <v>-4.7327900734525849E-2</v>
      </c>
      <c r="J21" s="954">
        <f>IF(ISNUMBER((Tasas!D21-Datos!BF21)/Datos!BF21),(Tasas!D21-Datos!BF21)/Datos!BF21," - ")</f>
        <v>2.3528159267539674E-2</v>
      </c>
      <c r="K21" s="954">
        <f>IF(ISNUMBER((Tasas!E21-Datos!BG21)/Datos!BG21),(Tasas!E21-Datos!BG21)/Datos!BG21," - ")</f>
        <v>-6.6724093546406793E-2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xgAfeScZf+ODV3++0TpAtWrpdjhSPknY9TRpaPvi+vIHRbk6rwukctHHSZO1P5/hS9MTa/Gnh/ywfjGWJmMMaw==" saltValue="JgpUt3csUJTFbbyqhR1T/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SEVILLA</v>
      </c>
    </row>
    <row r="4" spans="1:7" ht="11.25" customHeight="1" thickBot="1">
      <c r="B4" s="403" t="str">
        <f>Criterios!A11 &amp;"  "&amp;Criterios!B11</f>
        <v>Resumenes por Partidos Judiciales  MARCHENA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5</v>
      </c>
      <c r="D10" s="461">
        <f>IF(ISNUMBER('Resol  Asuntos'!D10/NºAsuntos!G10),'Resol  Asuntos'!D10/NºAsuntos!G10," - ")</f>
        <v>1</v>
      </c>
      <c r="E10" s="462">
        <f>IF(ISNUMBER((NºAsuntos!C10+NºAsuntos!E10)/NºAsuntos!G10),(NºAsuntos!C10+NºAsuntos!E10)/NºAsuntos!G10," - ")</f>
        <v>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0.86744639376218324</v>
      </c>
      <c r="C12" s="460">
        <f>IF(ISNUMBER(NºAsuntos!I12/NºAsuntos!G12),NºAsuntos!I12/NºAsuntos!G12," - ")</f>
        <v>1.8696629213483147</v>
      </c>
      <c r="D12" s="461">
        <f>IF(ISNUMBER('Resol  Asuntos'!D12/NºAsuntos!G12),'Resol  Asuntos'!D12/NºAsuntos!G12," - ")</f>
        <v>0.18651685393258427</v>
      </c>
      <c r="E12" s="462">
        <f>IF(ISNUMBER((NºAsuntos!C12+NºAsuntos!E12)/NºAsuntos!G12),(NºAsuntos!C12+NºAsuntos!E12)/NºAsuntos!G12," - ")</f>
        <v>2.8696629213483145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0.86770428015564205</v>
      </c>
      <c r="C14" s="1006">
        <f>IF(ISNUMBER(NºAsuntos!I14/NºAsuntos!G14),NºAsuntos!I14/NºAsuntos!G14," - ")</f>
        <v>1.8766816143497758</v>
      </c>
      <c r="D14" s="1007">
        <f>IF(ISNUMBER('Resol  Asuntos'!D14/NºAsuntos!G14),'Resol  Asuntos'!D14/NºAsuntos!G14," - ")</f>
        <v>0.18834080717488788</v>
      </c>
      <c r="E14" s="1008">
        <f>IF(ISNUMBER((NºAsuntos!C14+NºAsuntos!E14)/NºAsuntos!G14),(NºAsuntos!C14+NºAsuntos!E14)/NºAsuntos!G14," - ")</f>
        <v>2.876681614349776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0.91911764705882348</v>
      </c>
      <c r="C17" s="460">
        <f>IF(ISNUMBER(NºAsuntos!I17/NºAsuntos!G17),NºAsuntos!I17/NºAsuntos!G17," - ")</f>
        <v>1.464</v>
      </c>
      <c r="D17" s="461">
        <f>IF(ISNUMBER('Resol  Asuntos'!D17/NºAsuntos!G17),'Resol  Asuntos'!D17/NºAsuntos!G17," - ")</f>
        <v>0.13600000000000001</v>
      </c>
      <c r="E17" s="462">
        <f>IF(ISNUMBER((NºAsuntos!C17+NºAsuntos!E17)/NºAsuntos!G17),(NºAsuntos!C17+NºAsuntos!E17)/NºAsuntos!G17," - ")</f>
        <v>2.464</v>
      </c>
      <c r="G17" s="480"/>
    </row>
    <row r="18" spans="1:7">
      <c r="A18" s="414" t="str">
        <f>Datos!A18</f>
        <v>Jdos. Violencia contra la mujer</v>
      </c>
      <c r="B18" s="459">
        <f>IF(ISNUMBER(NºAsuntos!G18/NºAsuntos!E18),NºAsuntos!G18/NºAsuntos!E18," - ")</f>
        <v>0.69565217391304346</v>
      </c>
      <c r="C18" s="460">
        <f>IF(ISNUMBER(NºAsuntos!I18/NºAsuntos!G18),NºAsuntos!I18/NºAsuntos!G18," - ")</f>
        <v>2</v>
      </c>
      <c r="D18" s="461">
        <f>IF(ISNUMBER('Resol  Asuntos'!D18/NºAsuntos!G18),'Resol  Asuntos'!D18/NºAsuntos!G18," - ")</f>
        <v>0.1875</v>
      </c>
      <c r="E18" s="462">
        <f>IF(ISNUMBER((NºAsuntos!C18+NºAsuntos!E18)/NºAsuntos!G18),(NºAsuntos!C18+NºAsuntos!E18)/NºAsuntos!G18," - ")</f>
        <v>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0.90719257540603249</v>
      </c>
      <c r="C20" s="1006">
        <f>IF(ISNUMBER(NºAsuntos!I20/NºAsuntos!G20),NºAsuntos!I20/NºAsuntos!G20," - ")</f>
        <v>1.4859335038363171</v>
      </c>
      <c r="D20" s="1009">
        <f>IF(ISNUMBER('Resol  Asuntos'!D20/NºAsuntos!G20),'Resol  Asuntos'!D20/NºAsuntos!G20," - ")</f>
        <v>0.13810741687979539</v>
      </c>
      <c r="E20" s="1008">
        <f>IF(ISNUMBER((NºAsuntos!C20+NºAsuntos!E20)/NºAsuntos!G20),(NºAsuntos!C20+NºAsuntos!E20)/NºAsuntos!G20," - ")</f>
        <v>2.4859335038363173</v>
      </c>
      <c r="G20" s="480"/>
    </row>
    <row r="21" spans="1:7" ht="15.75" customHeight="1" thickTop="1" thickBot="1">
      <c r="A21" s="940" t="str">
        <f>Datos!A21</f>
        <v>TOTAL JURISDICCIONES</v>
      </c>
      <c r="B21" s="955">
        <f>IF(ISNUMBER(NºAsuntos!G21/NºAsuntos!E21),NºAsuntos!G21/NºAsuntos!E21," - ")</f>
        <v>0.88571428571428568</v>
      </c>
      <c r="C21" s="956">
        <f>IF(ISNUMBER(NºAsuntos!I21/NºAsuntos!G21),NºAsuntos!I21/NºAsuntos!G21," - ")</f>
        <v>1.6941457586618878</v>
      </c>
      <c r="D21" s="957">
        <f>IF(ISNUMBER('Resol  Asuntos'!D21/NºAsuntos!G21),'Resol  Asuntos'!D21/NºAsuntos!G21," - ")</f>
        <v>0.16487455197132617</v>
      </c>
      <c r="E21" s="958">
        <f>IF(ISNUMBER((NºAsuntos!C21+NºAsuntos!E21)/NºAsuntos!G21),(NºAsuntos!C21+NºAsuntos!E21)/NºAsuntos!G21," - ")</f>
        <v>2.6941457586618878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9teTdv1yX1VhXPmOM3APmGVGuCbnX0ei0FI5lhRvgYNMz4XCIlDk7YET7z80JYS/A16egIxIYOuWuuPXqiUr8g==" saltValue="KboYwdrDqqqJvUUMlKje3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SEVILLA</v>
      </c>
      <c r="N2" s="339" t="str">
        <f>Criterios!A11 &amp;"  "&amp;Criterios!B11</f>
        <v>Resumenes por Partidos Judiciales  MARCHENA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5</v>
      </c>
      <c r="G10" s="343">
        <f>IF(ISNUMBER(Datos!I10),Datos!I10," - ")</f>
        <v>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5</v>
      </c>
      <c r="AB10" s="344">
        <f>IF(ISNUMBER(Datos!R10),Datos!R10," - ")</f>
        <v>3</v>
      </c>
      <c r="AC10" s="344">
        <f t="shared" ref="AC10:AC13" si="1">IF(ISNUMBER(AA10+AB10),AA10+AB10," - ")</f>
        <v>8</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15</v>
      </c>
      <c r="AN10" s="249">
        <f>IF(ISNUMBER('Resol  Asuntos'!D10/NºAsuntos!G10),'Resol  Asuntos'!D10/NºAsuntos!G10," - ")</f>
        <v>1</v>
      </c>
      <c r="AO10" s="250">
        <f>IF(ISNUMBER((NºAsuntos!C10+NºAsuntos!E10)/NºAsuntos!G10),(NºAsuntos!C10+NºAsuntos!E10)/NºAsuntos!G10," - ")</f>
        <v>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61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109</v>
      </c>
      <c r="Y12" s="344">
        <f t="shared" si="0"/>
        <v>109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1430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83</v>
      </c>
      <c r="AJ12" s="234" t="str">
        <f>IF(ISNUMBER(Datos!BW12),Datos!BW12," - ")</f>
        <v xml:space="preserve"> - </v>
      </c>
      <c r="AK12" s="233" t="str">
        <f>IF(ISNUMBER(Datos!BX12),Datos!BX12," - ")</f>
        <v xml:space="preserve"> - </v>
      </c>
      <c r="AL12" s="248">
        <f>IF(ISNUMBER(NºAsuntos!G12/NºAsuntos!E12),NºAsuntos!G12/NºAsuntos!E12," - ")</f>
        <v>0.86744639376218324</v>
      </c>
      <c r="AM12" s="265">
        <f>IF(ISNUMBER(((NºAsuntos!I12/NºAsuntos!G12)*11)/factor_trimestre),((NºAsuntos!I12/NºAsuntos!G12)*11)/factor_trimestre," - ")</f>
        <v>5.6089887640449438</v>
      </c>
      <c r="AN12" s="249">
        <f>IF(ISNUMBER('Resol  Asuntos'!D12/NºAsuntos!G12),'Resol  Asuntos'!D12/NºAsuntos!G12," - ")</f>
        <v>0.18651685393258427</v>
      </c>
      <c r="AO12" s="250">
        <f>IF(ISNUMBER((NºAsuntos!C12+NºAsuntos!E12)/NºAsuntos!G12),(NºAsuntos!C12+NºAsuntos!E12)/NºAsuntos!G12," - ")</f>
        <v>2.8696629213483145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5</v>
      </c>
      <c r="G14" s="1013">
        <f t="shared" si="5"/>
        <v>5</v>
      </c>
      <c r="H14" s="1012">
        <f t="shared" si="5"/>
        <v>0</v>
      </c>
      <c r="I14" s="1014">
        <f t="shared" si="5"/>
        <v>0</v>
      </c>
      <c r="J14" s="1014">
        <f t="shared" si="5"/>
        <v>0</v>
      </c>
      <c r="K14" s="1014">
        <f t="shared" si="5"/>
        <v>0</v>
      </c>
      <c r="L14" s="1014">
        <f t="shared" si="5"/>
        <v>61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109</v>
      </c>
      <c r="Y14" s="1015">
        <f t="shared" si="6"/>
        <v>110</v>
      </c>
      <c r="Z14" s="1015">
        <f t="shared" si="6"/>
        <v>0</v>
      </c>
      <c r="AA14" s="1015">
        <f t="shared" si="6"/>
        <v>5</v>
      </c>
      <c r="AB14" s="1015">
        <f t="shared" si="6"/>
        <v>1433</v>
      </c>
      <c r="AC14" s="1015">
        <f t="shared" si="6"/>
        <v>8</v>
      </c>
      <c r="AD14" s="1015">
        <f t="shared" si="6"/>
        <v>0</v>
      </c>
      <c r="AE14" s="1019">
        <f t="shared" si="6"/>
        <v>0</v>
      </c>
      <c r="AF14" s="1012">
        <f t="shared" si="6"/>
        <v>0</v>
      </c>
      <c r="AG14" s="1020">
        <f t="shared" si="6"/>
        <v>0</v>
      </c>
      <c r="AH14" s="1017">
        <f t="shared" si="6"/>
        <v>0</v>
      </c>
      <c r="AI14" s="1012">
        <f t="shared" si="6"/>
        <v>84</v>
      </c>
      <c r="AJ14" s="1014">
        <f t="shared" si="6"/>
        <v>0</v>
      </c>
      <c r="AK14" s="1017">
        <f>SUBTOTAL(9,AK9:AK13)</f>
        <v>0</v>
      </c>
      <c r="AL14" s="1021">
        <f>IF(ISNUMBER(NºAsuntos!G14/NºAsuntos!E14),NºAsuntos!G14/NºAsuntos!E14," - ")</f>
        <v>0.86770428015564205</v>
      </c>
      <c r="AM14" s="1021">
        <f>IF(ISNUMBER(((NºAsuntos!I14/NºAsuntos!G14)*11)/factor_trimestre),((NºAsuntos!I14/NºAsuntos!G14)*11)/factor_trimestre," - ")</f>
        <v>5.630044843049328</v>
      </c>
      <c r="AN14" s="1022">
        <f>IF(ISNUMBER('Resol  Asuntos'!D14/NºAsuntos!G14),'Resol  Asuntos'!D14/NºAsuntos!G14," - ")</f>
        <v>0.18834080717488788</v>
      </c>
      <c r="AO14" s="1023">
        <f>IF(ISNUMBER((NºAsuntos!C14+NºAsuntos!E14)/NºAsuntos!G14),(NºAsuntos!C14+NºAsuntos!E14)/NºAsuntos!G14," - ")</f>
        <v>2.876681614349776</v>
      </c>
      <c r="AP14" s="1024" t="str">
        <f t="shared" si="2"/>
        <v xml:space="preserve"> - </v>
      </c>
      <c r="AQ14" s="1024">
        <f>IF(ISNUMBER((H14-W14+K14)/(F14)),(H14-W14+K14)/(F14)," - ")</f>
        <v>-0.2</v>
      </c>
      <c r="AR14" s="1025">
        <f>IF(ISNUMBER((Datos!P14-Datos!Q14)/(Datos!R14-Datos!P14+Datos!Q14)),(Datos!P14-Datos!Q14)/(Datos!R14-Datos!P14+Datos!Q14)," - ")</f>
        <v>-3.2410533423362593E-2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516</v>
      </c>
      <c r="G17" s="343">
        <f>IF(ISNUMBER(IF(D_I="SI",Datos!I17,Datos!I17+Datos!AC17)),IF(D_I="SI",Datos!I17,Datos!I17+Datos!AC17)," - ")</f>
        <v>516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375</v>
      </c>
      <c r="X17" s="231">
        <f>IF(ISNUMBER(Datos!Q17),Datos!Q17," - ")</f>
        <v>16</v>
      </c>
      <c r="Y17" s="344">
        <f t="shared" ref="Y17:Y19" si="9">SUM(W17:X17)</f>
        <v>391</v>
      </c>
      <c r="Z17" s="345" t="str">
        <f>IF(ISNUMBER(Datos!CC17),Datos!CC17," - ")</f>
        <v xml:space="preserve"> - </v>
      </c>
      <c r="AA17" s="342">
        <f>IF(ISNUMBER(IF(D_I="SI",Datos!L17,Datos!L17+Datos!AF17)),IF(D_I="SI",Datos!L17,Datos!L17+Datos!AF17)," - ")</f>
        <v>549</v>
      </c>
      <c r="AB17" s="344">
        <f>IF(ISNUMBER(Datos!R17),Datos!R17," - ")</f>
        <v>52</v>
      </c>
      <c r="AC17" s="344">
        <f t="shared" si="8"/>
        <v>601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51</v>
      </c>
      <c r="AJ17" s="236" t="str">
        <f>IF(ISNUMBER(Datos!BW17),Datos!BW17," - ")</f>
        <v xml:space="preserve"> - </v>
      </c>
      <c r="AK17" s="237" t="str">
        <f>IF(ISNUMBER(Datos!BX17),Datos!BX17," - ")</f>
        <v xml:space="preserve"> - </v>
      </c>
      <c r="AL17" s="248">
        <f>IF(ISNUMBER(NºAsuntos!G17/NºAsuntos!E17),NºAsuntos!G17/NºAsuntos!E17," - ")</f>
        <v>0.91911764705882348</v>
      </c>
      <c r="AM17" s="265">
        <f>IF(ISNUMBER(((NºAsuntos!I17/NºAsuntos!G17)*11)/factor_trimestre),((NºAsuntos!I17/NºAsuntos!G17)*11)/factor_trimestre," - ")</f>
        <v>4.3920000000000003</v>
      </c>
      <c r="AN17" s="249">
        <f>IF(ISNUMBER('Resol  Asuntos'!D17/NºAsuntos!G17),'Resol  Asuntos'!D17/NºAsuntos!G17," - ")</f>
        <v>0.13600000000000001</v>
      </c>
      <c r="AO17" s="250">
        <f>IF(ISNUMBER((NºAsuntos!C17+NºAsuntos!E17)/NºAsuntos!G17),(NºAsuntos!C17+NºAsuntos!E17)/NºAsuntos!G17," - ")</f>
        <v>2.464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16</v>
      </c>
      <c r="X18" s="231">
        <f>IF(ISNUMBER(Datos!Q18),Datos!Q18," - ")</f>
        <v>0</v>
      </c>
      <c r="Y18" s="344">
        <f t="shared" si="9"/>
        <v>16</v>
      </c>
      <c r="Z18" s="345" t="str">
        <f>IF(ISNUMBER(Datos!CC18),Datos!CC18," - ")</f>
        <v xml:space="preserve"> - </v>
      </c>
      <c r="AA18" s="342">
        <f>IF(ISNUMBER(Datos!L18),Datos!L18,"-")</f>
        <v>32</v>
      </c>
      <c r="AB18" s="344">
        <f>IF(ISNUMBER(Datos!R18),Datos!R18," - ")</f>
        <v>3</v>
      </c>
      <c r="AC18" s="344">
        <f t="shared" si="8"/>
        <v>35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0.69565217391304346</v>
      </c>
      <c r="AM18" s="265">
        <f>IF(ISNUMBER(((NºAsuntos!I18/NºAsuntos!G18)*11)/factor_trimestre),((NºAsuntos!I18/NºAsuntos!G18)*11)/factor_trimestre," - ")</f>
        <v>6</v>
      </c>
      <c r="AN18" s="249">
        <f>IF(ISNUMBER('Resol  Asuntos'!D18/NºAsuntos!G18),'Resol  Asuntos'!D18/NºAsuntos!G18," - ")</f>
        <v>0.1875</v>
      </c>
      <c r="AO18" s="250">
        <f>IF(ISNUMBER((NºAsuntos!C18+NºAsuntos!E18)/NºAsuntos!G18),(NºAsuntos!C18+NºAsuntos!E18)/NºAsuntos!G18," - ")</f>
        <v>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516</v>
      </c>
      <c r="G20" s="1013">
        <f>SUBTOTAL(9,G16:G19)</f>
        <v>541</v>
      </c>
      <c r="H20" s="1012">
        <f t="shared" ref="H20:O20" si="12">SUBTOTAL(9,H15:H19)</f>
        <v>0</v>
      </c>
      <c r="I20" s="1014">
        <f t="shared" si="12"/>
        <v>0</v>
      </c>
      <c r="J20" s="1014">
        <f t="shared" si="12"/>
        <v>0</v>
      </c>
      <c r="K20" s="1014">
        <f t="shared" si="12"/>
        <v>0</v>
      </c>
      <c r="L20" s="1014">
        <f t="shared" si="12"/>
        <v>19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391</v>
      </c>
      <c r="X20" s="1014">
        <f t="shared" si="13"/>
        <v>16</v>
      </c>
      <c r="Y20" s="1015">
        <f t="shared" si="13"/>
        <v>407</v>
      </c>
      <c r="Z20" s="1015">
        <f t="shared" si="13"/>
        <v>0</v>
      </c>
      <c r="AA20" s="1015">
        <f t="shared" si="13"/>
        <v>581</v>
      </c>
      <c r="AB20" s="1015">
        <f t="shared" si="13"/>
        <v>55</v>
      </c>
      <c r="AC20" s="1015">
        <f t="shared" si="13"/>
        <v>636</v>
      </c>
      <c r="AD20" s="1015">
        <f t="shared" si="13"/>
        <v>0</v>
      </c>
      <c r="AE20" s="1019">
        <f t="shared" si="13"/>
        <v>0</v>
      </c>
      <c r="AF20" s="1012">
        <f t="shared" si="13"/>
        <v>0</v>
      </c>
      <c r="AG20" s="1020">
        <f t="shared" si="13"/>
        <v>0</v>
      </c>
      <c r="AH20" s="1017">
        <f t="shared" si="13"/>
        <v>0</v>
      </c>
      <c r="AI20" s="1012">
        <f t="shared" si="13"/>
        <v>54</v>
      </c>
      <c r="AJ20" s="1014">
        <f t="shared" si="13"/>
        <v>0</v>
      </c>
      <c r="AK20" s="1017">
        <f t="shared" si="13"/>
        <v>0</v>
      </c>
      <c r="AL20" s="1021">
        <f>IF(ISNUMBER(NºAsuntos!G20/NºAsuntos!E20),NºAsuntos!G20/NºAsuntos!E20," - ")</f>
        <v>0.90719257540603249</v>
      </c>
      <c r="AM20" s="1021">
        <f>IF(ISNUMBER(((NºAsuntos!I20/NºAsuntos!G20)*11)/factor_trimestre),((NºAsuntos!I20/NºAsuntos!G20)*11)/factor_trimestre," - ")</f>
        <v>4.4578005115089514</v>
      </c>
      <c r="AN20" s="1022">
        <f>IF(ISNUMBER('Resol  Asuntos'!D20/NºAsuntos!G20),'Resol  Asuntos'!D20/NºAsuntos!G20," - ")</f>
        <v>0.13810741687979539</v>
      </c>
      <c r="AO20" s="1023">
        <f>IF(ISNUMBER((NºAsuntos!C20+NºAsuntos!E20)/NºAsuntos!G20),(NºAsuntos!C20+NºAsuntos!E20)/NºAsuntos!G20," - ")</f>
        <v>2.4859335038363173</v>
      </c>
      <c r="AP20" s="1024" t="str">
        <f t="shared" si="2"/>
        <v xml:space="preserve"> - </v>
      </c>
      <c r="AQ20" s="1024">
        <f>IF(ISNUMBER((H20-W20+K20)/(F20)),(H20-W20+K20)/(F20)," - ")</f>
        <v>-0.75775193798449614</v>
      </c>
      <c r="AR20" s="1025">
        <f>IF(ISNUMBER((Datos!P20-Datos!Q20)/(Datos!R20-Datos!P20+Datos!Q20)),(Datos!P20-Datos!Q20)/(Datos!R20-Datos!P20+Datos!Q20)," - ")</f>
        <v>5.7692307692307696E-2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521</v>
      </c>
      <c r="G21" s="968">
        <f t="shared" si="15"/>
        <v>546</v>
      </c>
      <c r="H21" s="967">
        <f t="shared" si="15"/>
        <v>0</v>
      </c>
      <c r="I21" s="969">
        <f t="shared" si="15"/>
        <v>0</v>
      </c>
      <c r="J21" s="969">
        <f t="shared" si="15"/>
        <v>0</v>
      </c>
      <c r="K21" s="1028">
        <f t="shared" si="15"/>
        <v>0</v>
      </c>
      <c r="L21" s="969">
        <f t="shared" si="15"/>
        <v>80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392</v>
      </c>
      <c r="X21" s="968">
        <f t="shared" si="16"/>
        <v>125</v>
      </c>
      <c r="Y21" s="975">
        <f t="shared" si="16"/>
        <v>517</v>
      </c>
      <c r="Z21" s="975">
        <f t="shared" si="16"/>
        <v>0</v>
      </c>
      <c r="AA21" s="975">
        <f t="shared" si="16"/>
        <v>586</v>
      </c>
      <c r="AB21" s="975">
        <f t="shared" si="16"/>
        <v>1488</v>
      </c>
      <c r="AC21" s="975">
        <f t="shared" si="16"/>
        <v>644</v>
      </c>
      <c r="AD21" s="975">
        <f t="shared" si="16"/>
        <v>0</v>
      </c>
      <c r="AE21" s="977">
        <f t="shared" si="16"/>
        <v>0</v>
      </c>
      <c r="AF21" s="978">
        <f t="shared" si="16"/>
        <v>0</v>
      </c>
      <c r="AG21" s="979">
        <f t="shared" si="16"/>
        <v>0</v>
      </c>
      <c r="AH21" s="977">
        <f t="shared" si="16"/>
        <v>0</v>
      </c>
      <c r="AI21" s="967">
        <f t="shared" si="16"/>
        <v>138</v>
      </c>
      <c r="AJ21" s="967">
        <f t="shared" si="16"/>
        <v>0</v>
      </c>
      <c r="AK21" s="977">
        <f t="shared" si="16"/>
        <v>0</v>
      </c>
      <c r="AL21" s="1031">
        <f>IF(ISNUMBER(NºAsuntos!G21/NºAsuntos!E21),NºAsuntos!G21/NºAsuntos!E21," - ")</f>
        <v>0.88571428571428568</v>
      </c>
      <c r="AM21" s="1032">
        <f>IF(ISNUMBER(((NºAsuntos!I21/NºAsuntos!G21)*11)/factor_trimestre),((NºAsuntos!I21/NºAsuntos!G21)*11)/factor_trimestre," - ")</f>
        <v>5.0824372759856633</v>
      </c>
      <c r="AN21" s="1032">
        <f>IF(ISNUMBER('Resol  Asuntos'!D21/NºAsuntos!G21),'Resol  Asuntos'!D21/NºAsuntos!G21," - ")</f>
        <v>0.16487455197132617</v>
      </c>
      <c r="AO21" s="1033">
        <f>IF(ISNUMBER((NºAsuntos!C21+NºAsuntos!E21)/NºAsuntos!G21),(NºAsuntos!C21+NºAsuntos!E21)/NºAsuntos!G21," - ")</f>
        <v>2.6941457586618878</v>
      </c>
      <c r="AP21" s="1034" t="str">
        <f t="shared" si="2"/>
        <v xml:space="preserve"> - </v>
      </c>
      <c r="AQ21" s="1035">
        <f>IF(OR(ISNUMBER(FIND("01",Criterios!A8,1)),ISNUMBER(FIND("02",Criterios!A8,1)),ISNUMBER(FIND("03",Criterios!A8,1)),ISNUMBER(FIND("04",Criterios!A8,1))),(I21-W21+K21)/(F21-K21),(H21-W21+K21)/(F21-K21))</f>
        <v>-0.75239923224568139</v>
      </c>
      <c r="AR21" s="1036">
        <f>IF(ISNUMBER((Datos!P21-Datos!Q21)/(Datos!R21-Datos!P21+Datos!Q21)),(Datos!P21-Datos!Q21)/(Datos!R21-Datos!P21+Datos!Q21)," - ")</f>
        <v>-2.9354207436399216E-2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218.4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295.02598755589878</v>
      </c>
      <c r="G23" s="258">
        <f>IF(ISNUMBER(STDEV(G8:G20)),STDEV(G8:G20),"-")</f>
        <v>283.33690193831092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206.65962353590021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36.813041167499321</v>
      </c>
      <c r="AJ23" s="257">
        <f t="shared" si="20"/>
        <v>0</v>
      </c>
      <c r="AK23" s="259">
        <f t="shared" si="20"/>
        <v>0</v>
      </c>
      <c r="AL23" s="254">
        <f t="shared" si="20"/>
        <v>0.10087142636293751</v>
      </c>
      <c r="AM23" s="255">
        <f t="shared" si="20"/>
        <v>4.0481541740894604</v>
      </c>
      <c r="AN23" s="255">
        <f t="shared" si="20"/>
        <v>0.34084777871290578</v>
      </c>
      <c r="AO23" s="256">
        <f t="shared" si="20"/>
        <v>1.3493847246964856</v>
      </c>
      <c r="AP23" s="296" t="str">
        <f t="shared" si="20"/>
        <v>-</v>
      </c>
      <c r="AQ23" s="297">
        <f t="shared" si="20"/>
        <v>0.39439017756877609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p4felF+17x6RdnjtIkoypUx7R911asNrLpLZ8CrK9+EPTDvQcO2mH7PxjmBPutHkMF8fl5YqpK7TNnaDkuKaag==" saltValue="kUaUrXaW3EamL5nUqlFo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SEVILLA</v>
      </c>
      <c r="E3" s="268"/>
    </row>
    <row r="4" spans="2:20" ht="17.25" customHeight="1" thickBot="1">
      <c r="D4" s="267" t="str">
        <f>Criterios!A11 &amp;"  "&amp;Criterios!B11</f>
        <v>Resumenes por Partidos Judiciales  MARCHENA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-0.16666666666666666</v>
      </c>
      <c r="E10" s="358">
        <f>IF(ISNUMBER((Datos!J10-Datos!T10)/Datos!T10),(Datos!J10-Datos!T10)/Datos!T10," - ")</f>
        <v>0</v>
      </c>
      <c r="F10" s="358">
        <f>IF(ISNUMBER((Datos!K10-Datos!U10)/Datos!U10),(Datos!K10-Datos!U10)/Datos!U10," - ")</f>
        <v>-0.66666666666666663</v>
      </c>
      <c r="G10" s="359">
        <f>IF(ISNUMBER((Datos!L10-Datos!V10)/Datos!V10),(Datos!L10-Datos!V10)/Datos!V10," - ")</f>
        <v>0.25</v>
      </c>
      <c r="H10" s="235">
        <f>IF(ISNUMBER((Datos!M10-Datos!W10)/Datos!W10),(Datos!M10-Datos!W10)/Datos!W10," - ")</f>
        <v>0</v>
      </c>
      <c r="I10" s="360">
        <f>IF(ISNUMBER((Tasas!C10-Datos!BE10)/Datos!BE10),(Tasas!C10-Datos!BE10)/Datos!BE10," - ")</f>
        <v>2.7500000000000004</v>
      </c>
      <c r="J10" s="359">
        <f>IF(ISNUMBER((Tasas!D10-Datos!BF10)/Datos!BF10),(Tasas!D10-Datos!BF10)/Datos!BF10," - ")</f>
        <v>2.0000000000000004</v>
      </c>
      <c r="K10" s="361">
        <f>IF(ISNUMBER((Tasas!E10-Datos!BG10)/Datos!BG10),(Tasas!E10-Datos!BG10)/Datos!BG10," - ")</f>
        <v>1.5714285714285712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9.2105263157894732E-2</v>
      </c>
      <c r="I12" s="360">
        <f>IF(ISNUMBER((Tasas!C12-Datos!BE12)/Datos!BE12),(Tasas!C12-Datos!BE12)/Datos!BE12," - ")</f>
        <v>-0.1176178291986501</v>
      </c>
      <c r="J12" s="359">
        <f>IF(ISNUMBER((Tasas!D12-Datos!BF12)/Datos!BF12),(Tasas!D12-Datos!BF12)/Datos!BF12," - ")</f>
        <v>6.6876404494382077E-2</v>
      </c>
      <c r="K12" s="361">
        <f>IF(ISNUMBER((Tasas!E12-Datos!BG12)/Datos!BG12),(Tasas!E12-Datos!BG12)/Datos!BG12," - ")</f>
        <v>-1.4737580425428614E-2</v>
      </c>
      <c r="M12" t="e">
        <f>IF(Monitorios="SI",Datos!CE12,0)</f>
        <v>#REF!</v>
      </c>
      <c r="N12" t="e">
        <f>IF(Monitorios="SI",Datos!CF12,0)</f>
        <v>#REF!</v>
      </c>
      <c r="O12" t="e">
        <f>IF(Monitorios="SI",Datos!CG12,0)</f>
        <v>#REF!</v>
      </c>
      <c r="P12" t="e">
        <f>IF(Monitorios="SI",Datos!CH12,0)</f>
        <v>#REF!</v>
      </c>
      <c r="Q12">
        <f>IF(J_V="SI",0,Datos!AG12)</f>
        <v>51</v>
      </c>
      <c r="R12">
        <f>IF(J_V="SI",0,Datos!AH12)</f>
        <v>18</v>
      </c>
      <c r="S12">
        <f>IF(J_V="SI",0,Datos!AI12)</f>
        <v>17</v>
      </c>
      <c r="T12">
        <f>IF(J_V="SI",0,Datos!AJ12)</f>
        <v>47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9.0909090909090912E-2</v>
      </c>
      <c r="I14" s="367">
        <f>IF(ISNUMBER((Tasas!C14-Datos!BE14)/Datos!BE14),(Tasas!C14-Datos!BE14)/Datos!BE14," - ")</f>
        <v>-0.11088362861133572</v>
      </c>
      <c r="J14" s="365">
        <f>IF(ISNUMBER((Tasas!D14-Datos!BF14)/Datos!BF14),(Tasas!D14-Datos!BF14)/Datos!BF14," - ")</f>
        <v>6.7264573991031251E-2</v>
      </c>
      <c r="K14" s="368">
        <f>IF(ISNUMBER((Tasas!E14-Datos!BG14)/Datos!BG14),(Tasas!E14-Datos!BG14)/Datos!BG14," - ")</f>
        <v>-1.0284539824898542E-2</v>
      </c>
      <c r="M14" t="e">
        <f>IF(Monitorios="SI",Datos!CE14,0)</f>
        <v>#REF!</v>
      </c>
      <c r="N14" t="e">
        <f>IF(Monitorios="SI",Datos!CF14,0)</f>
        <v>#REF!</v>
      </c>
      <c r="O14" t="e">
        <f>IF(Monitorios="SI",Datos!CG14,0)</f>
        <v>#REF!</v>
      </c>
      <c r="P14" t="e">
        <f>IF(Monitorios="SI",Datos!CH14,0)</f>
        <v>#REF!</v>
      </c>
      <c r="Q14">
        <f>IF(J_V="SI",0,Datos!AG14)</f>
        <v>51</v>
      </c>
      <c r="R14">
        <f>IF(J_V="SI",0,Datos!AH14)</f>
        <v>18</v>
      </c>
      <c r="S14">
        <f>IF(J_V="SI",0,Datos!AI14)</f>
        <v>17</v>
      </c>
      <c r="T14">
        <f>IF(J_V="SI",0,Datos!AJ14)</f>
        <v>47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-1.1494252873563218E-2</v>
      </c>
      <c r="E17" s="358">
        <f>IF(ISNUMBER(
   IF(D_I="SI",(Datos!J17-Datos!T17)/Datos!T17,(Datos!J17+Datos!AD17-(Datos!T17+Datos!AL17))/(Datos!T17+Datos!AL17))
     ),IF(D_I="SI",(Datos!J17-Datos!T17)/Datos!T17,(Datos!J17+Datos!AD17-(Datos!T17+Datos!AL17))/(Datos!T17+Datos!AL17))," - ")</f>
        <v>-1.6867469879518072E-2</v>
      </c>
      <c r="F17" s="358">
        <f>IF(ISNUMBER(
   IF(D_I="SI",(Datos!K17-Datos!U17)/Datos!U17,(Datos!K17+Datos!AE17-(Datos!U17+Datos!AM17))/(Datos!U17+Datos!AM17))
     ),IF(D_I="SI",(Datos!K17-Datos!U17)/Datos!U17,(Datos!K17+Datos!AE17-(Datos!U17+Datos!AM17))/(Datos!U17+Datos!AM17))," - ")</f>
        <v>0.16459627329192547</v>
      </c>
      <c r="G17" s="359">
        <f>IF(ISNUMBER(
   IF(D_I="SI",(Datos!L17-Datos!V17)/Datos!V17,(Datos!L17+Datos!AF17-(Datos!V17+Datos!AN17))/(Datos!V17+Datos!AN17))
     ),IF(D_I="SI",(Datos!L17-Datos!V17)/Datos!V17,(Datos!L17+Datos!AF17-(Datos!V17+Datos!AN17))/(Datos!V17+Datos!AN17))," - ")</f>
        <v>0.13195876288659794</v>
      </c>
      <c r="H17" s="235">
        <f>IF(ISNUMBER((Datos!M17-Datos!W17)/Datos!W17),(Datos!M17-Datos!W17)/Datos!W17," - ")</f>
        <v>0.10869565217391304</v>
      </c>
      <c r="I17" s="360">
        <f>IF(ISNUMBER((Tasas!C17-Datos!BE17)/Datos!BE17),(Tasas!C17-Datos!BE17)/Datos!BE17," - ")</f>
        <v>-2.8024742268041195E-2</v>
      </c>
      <c r="J17" s="359">
        <f>IF(ISNUMBER((Tasas!D17-Datos!BF17)/Datos!BF17),(Tasas!D17-Datos!BF17)/Datos!BF17," - ")</f>
        <v>-4.7999999999999876E-2</v>
      </c>
      <c r="K17" s="361">
        <f>IF(ISNUMBER((Tasas!E17-Datos!BG17)/Datos!BG17),(Tasas!E17-Datos!BG17)/Datos!BG17," - ")</f>
        <v>-0.15324653148345788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0.7857142857142857</v>
      </c>
      <c r="E18" s="358">
        <f>IF(ISNUMBER(
   IF(D_I="SI",(Datos!J18-Datos!T18)/Datos!T18,(Datos!J18+Datos!AD18-(Datos!T18+Datos!AL18))/(Datos!T18+Datos!AL18))
     ),IF(D_I="SI",(Datos!J18-Datos!T18)/Datos!T18,(Datos!J18+Datos!AD18-(Datos!T18+Datos!AL18))/(Datos!T18+Datos!AL18))," - ")</f>
        <v>0.21052631578947367</v>
      </c>
      <c r="F18" s="358">
        <f>IF(ISNUMBER(
   IF(D_I="SI",(Datos!K18-Datos!U18)/Datos!U18,(Datos!K18+Datos!AE18-(Datos!U18+Datos!AM18))/(Datos!U18+Datos!AM18))
     ),IF(D_I="SI",(Datos!K18-Datos!U18)/Datos!U18,(Datos!K18+Datos!AE18-(Datos!U18+Datos!AM18))/(Datos!U18+Datos!AM18))," - ")</f>
        <v>0</v>
      </c>
      <c r="G18" s="359">
        <f>IF(ISNUMBER(
   IF(D_I="SI",(Datos!L18-Datos!V18)/Datos!V18,(Datos!L18+Datos!AF18-(Datos!V18+Datos!AN18))/(Datos!V18+Datos!AN18))
     ),IF(D_I="SI",(Datos!L18-Datos!V18)/Datos!V18,(Datos!L18+Datos!AF18-(Datos!V18+Datos!AN18))/(Datos!V18+Datos!AN18))," - ")</f>
        <v>0.6</v>
      </c>
      <c r="H18" s="235">
        <f>IF(ISNUMBER((Datos!M18-Datos!W18)/Datos!W18),(Datos!M18-Datos!W18)/Datos!W18," - ")</f>
        <v>-0.25</v>
      </c>
      <c r="I18" s="360">
        <f>IF(ISNUMBER((Tasas!C18-Datos!BE18)/Datos!BE18),(Tasas!C18-Datos!BE18)/Datos!BE18," - ")</f>
        <v>0.6</v>
      </c>
      <c r="J18" s="359">
        <f>IF(ISNUMBER((Tasas!D18-Datos!BF18)/Datos!BF18),(Tasas!D18-Datos!BF18)/Datos!BF18," - ")</f>
        <v>-0.25</v>
      </c>
      <c r="K18" s="361">
        <f>IF(ISNUMBER((Tasas!E18-Datos!BG18)/Datos!BG18),(Tasas!E18-Datos!BG18)/Datos!BG18," - ")</f>
        <v>0.45454545454545453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9.3283582089552231E-3</v>
      </c>
      <c r="E20" s="364">
        <f>IF(ISNUMBER(
   IF(D_I="SI",(Datos!J20-Datos!T20)/Datos!T20,(Datos!J20+Datos!AD20-(Datos!T20+Datos!AL20))/(Datos!T20+Datos!AL20))
     ),IF(D_I="SI",(Datos!J20-Datos!T20)/Datos!T20,(Datos!J20+Datos!AD20-(Datos!T20+Datos!AL20))/(Datos!T20+Datos!AL20))," - ")</f>
        <v>-6.9124423963133645E-3</v>
      </c>
      <c r="F20" s="364">
        <f>IF(ISNUMBER(
   IF(D_I="SI",(Datos!K20-Datos!U20)/Datos!U20,(Datos!K20+Datos!AE20-(Datos!U20+Datos!AM20))/(Datos!U20+Datos!AM20))
     ),IF(D_I="SI",(Datos!K20-Datos!U20)/Datos!U20,(Datos!K20+Datos!AE20-(Datos!U20+Datos!AM20))/(Datos!U20+Datos!AM20))," - ")</f>
        <v>0.15680473372781065</v>
      </c>
      <c r="G20" s="365">
        <f>IF(ISNUMBER(
   IF(D_I="SI",(Datos!L20-Datos!V20)/Datos!V20,(Datos!L20+Datos!AF20-(Datos!V20+Datos!AN20))/(Datos!V20+Datos!AN20))
     ),IF(D_I="SI",(Datos!L20-Datos!V20)/Datos!V20,(Datos!L20+Datos!AF20-(Datos!V20+Datos!AN20))/(Datos!V20+Datos!AN20))," - ")</f>
        <v>0.15049504950495049</v>
      </c>
      <c r="H20" s="366">
        <f>IF(ISNUMBER((Datos!M20-Datos!W20)/Datos!W20),(Datos!M20-Datos!W20)/Datos!W20," - ")</f>
        <v>0.08</v>
      </c>
      <c r="I20" s="367">
        <f>IF(ISNUMBER((Tasas!C20-Datos!BE20)/Datos!BE20),(Tasas!C20-Datos!BE20)/Datos!BE20," - ")</f>
        <v>-5.4544073333164826E-3</v>
      </c>
      <c r="J20" s="365">
        <f>IF(ISNUMBER((Tasas!D20-Datos!BF20)/Datos!BF20),(Tasas!D20-Datos!BF20)/Datos!BF20," - ")</f>
        <v>-6.6393861892583228E-2</v>
      </c>
      <c r="K20" s="368">
        <f>IF(ISNUMBER((Tasas!E20-Datos!BG20)/Datos!BG20),(Tasas!E20-Datos!BG20)/Datos!BG20," - ")</f>
        <v>-0.13376750072507701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0.17173524150268335</v>
      </c>
      <c r="E21" s="373">
        <f>IF(ISNUMBER(
   IF(J_V="SI",(Datos!J21-Datos!T21)/Datos!T21,(Datos!J21+Datos!Z21-(Datos!T21+Datos!AH21))/(Datos!T21+Datos!AH21))
     ),IF(J_V="SI",(Datos!J21-Datos!T21)/Datos!T21,(Datos!J21+Datos!Z21-(Datos!T21+Datos!AH21))/(Datos!T21+Datos!AH21))," - ")</f>
        <v>0.36560693641618497</v>
      </c>
      <c r="F21" s="373">
        <f>IF(ISNUMBER(
   IF(J_V="SI",(Datos!K21-Datos!U21)/Datos!U21,(Datos!K21+Datos!AA21-(Datos!U21+Datos!AI21))/(Datos!U21+Datos!AI21))
     ),IF(J_V="SI",(Datos!K21-Datos!U21)/Datos!U21,(Datos!K21+Datos!AA21-(Datos!U21+Datos!AI21))/(Datos!U21+Datos!AI21))," - ")</f>
        <v>0.3349282296650718</v>
      </c>
      <c r="G21" s="374">
        <f>IF(ISNUMBER(
   IF(J_V="SI",(Datos!L21-Datos!V21)/Datos!V21,(Datos!L21+Datos!AB21-(Datos!V21+Datos!AJ21))/(Datos!V21+Datos!AJ21))
     ),IF(J_V="SI",(Datos!L21-Datos!V21)/Datos!V21,(Datos!L21+Datos!AB21-(Datos!V21+Datos!AJ21))/(Datos!V21+Datos!AJ21))," - ")</f>
        <v>0.27174887892376681</v>
      </c>
      <c r="H21" s="375">
        <f>IF(ISNUMBER((Datos!M21-Datos!W21)/Datos!W21),(Datos!M21-Datos!W21)/Datos!W21," - ")</f>
        <v>8.6614173228346455E-2</v>
      </c>
      <c r="I21" s="372">
        <f>IF(ISNUMBER((Tasas!C21-Datos!BE21)/Datos!BE21),(Tasas!C21-Datos!BE21)/Datos!BE21," - ")</f>
        <v>-4.7327900734525849E-2</v>
      </c>
      <c r="J21" s="373">
        <f>IF(ISNUMBER((Tasas!D21-Datos!BF21)/Datos!BF21),(Tasas!D21-Datos!BF21)/Datos!BF21," - ")</f>
        <v>2.3528159267539674E-2</v>
      </c>
      <c r="K21" s="374">
        <f>IF(ISNUMBER((Tasas!E21-Datos!BG21)/Datos!BG21),(Tasas!E21-Datos!BG21)/Datos!BG21," - ")</f>
        <v>-6.6724093546406793E-2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0.42825540946178553</v>
      </c>
      <c r="E23" s="283">
        <f t="shared" si="1"/>
        <v>0.10944567637811306</v>
      </c>
      <c r="F23" s="283">
        <f t="shared" si="1"/>
        <v>0.39425964719231527</v>
      </c>
      <c r="G23" s="284">
        <f t="shared" si="1"/>
        <v>0.21752315258229465</v>
      </c>
      <c r="H23" s="290">
        <f t="shared" si="1"/>
        <v>0.13783591658898012</v>
      </c>
      <c r="I23" s="282">
        <f t="shared" si="1"/>
        <v>1.1278416237584692</v>
      </c>
      <c r="J23" s="283">
        <f t="shared" si="1"/>
        <v>0.84335144653236904</v>
      </c>
      <c r="K23" s="284">
        <f t="shared" si="1"/>
        <v>0.66754825513513905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gs8t75CaeMHQNsnOuBjjAUlcu3w9wFcTgkZTODyQMXm0VemzYIcITRB9wiMGdbQRRn3sezeWQQQwZmNN4hyXkg==" saltValue="tlHrnluoqje+Az89ziTmn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